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bc01-101\Users\Development Management\4 All Officers\Gary Osmond\APPLICATIONS &amp; DRAFT REPORTS\Applications &amp; Appeals\B\Blind Lane\Costalot\"/>
    </mc:Choice>
  </mc:AlternateContent>
  <xr:revisionPtr revIDLastSave="0" documentId="13_ncr:1_{BE13979B-CD62-499B-BB1C-9E6093308623}" xr6:coauthVersionLast="47" xr6:coauthVersionMax="47" xr10:uidLastSave="{00000000-0000-0000-0000-000000000000}"/>
  <workbookProtection workbookAlgorithmName="SHA-512" workbookHashValue="iOY7XQWyCvFtFCQuUVNKUqJBPVxjBYaZ8I+fq/gFMl/N5fKVpkyleIiCKmStOYl8qgEeAcpu9oyWK/Ikfwxliw==" workbookSaltValue="BWuOy0k3q6x2cjHR9EmUow==" workbookSpinCount="100000" lockStructure="1"/>
  <bookViews>
    <workbookView xWindow="31635" yWindow="900" windowWidth="17280" windowHeight="8970" firstSheet="4" activeTab="4"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<sst xmlns="http://schemas.openxmlformats.org/spreadsheetml/2006/main" count="651" uniqueCount="254">
  <si>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</si>
  <si>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</si>
  <si>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</si>
  <si>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</si>
  <si>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</si>
  <si>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</si>
  <si>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</si>
  <si>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</si>
  <si>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</si>
  <si>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</si>
  <si>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</si>
  <si>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</si>
  <si>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</si>
  <si>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</si>
  <si>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</si>
  <si>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</si>
  <si>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</si>
  <si>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</si>
  <si>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</si>
  <si>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</si>
  <si>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</si>
  <si>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</si>
  <si>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</si>
  <si>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</si>
  <si>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</si>
  <si>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</si>
  <si>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</si>
  <si>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</si>
  <si>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</si>
  <si>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</si>
  <si>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</si>
  <si>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</si>
  <si>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</si>
  <si>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</si>
  <si>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</si>
  <si>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</si>
  <si>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</si>
  <si>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</si>
  <si>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</si>
  <si>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</si>
  <si>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</si>
  <si>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</si>
  <si>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</si>
  <si>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</si>
  <si>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</si>
  <si>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</si>
  <si>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</si>
  <si>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</si>
  <si>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</si>
  <si>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</si>
  <si>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</si>
  <si>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</si>
  <si>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</si>
  <si>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</si>
  <si>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</si>
  <si>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</si>
  <si>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</si>
  <si>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</si>
  <si>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</si>
  <si>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</si>
  <si>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</si>
  <si>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</si>
  <si>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</si>
  <si>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</si>
  <si>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</si>
  <si>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</si>
  <si>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</si>
  <si>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</si>
  <si>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</si>
  <si>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</si>
  <si>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</si>
  <si>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</si>
  <si>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</si>
  <si>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</si>
  <si>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</si>
  <si>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</si>
  <si>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</si>
  <si>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</si>
  <si>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</si>
  <si>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</si>
  <si>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</si>
  <si>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</si>
  <si>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</si>
  <si>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</si>
  <si>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</si>
  <si>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</si>
  <si>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</si>
  <si>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</si>
  <si>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</si>
  <si>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</si>
  <si>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</si>
  <si>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</si>
  <si>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</si>
  <si>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</si>
  <si>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</si>
  <si>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</si>
  <si>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</si>
  <si>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</si>
  <si>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</si>
  <si>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</si>
  <si>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</si>
  <si>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</si>
  <si>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</si>
  <si>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</si>
  <si>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</si>
  <si>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</si>
  <si>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</si>
  <si>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</si>
  <si>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</si>
  <si>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</si>
  <si>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</si>
  <si>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</si>
  <si>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</si>
  <si>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</si>
  <si>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</si>
  <si>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</si>
  <si>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</si>
  <si>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</si>
  <si>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</si>
  <si>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</si>
  <si>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</si>
  <si>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</si>
  <si>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</si>
  <si>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</si>
  <si>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</si>
  <si>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</si>
  <si>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</si>
  <si>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</si>
  <si>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</si>
  <si>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</si>
  <si>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</si>
  <si>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</si>
  <si>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</si>
  <si>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</si>
  <si>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</si>
  <si>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</si>
  <si>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</si>
  <si>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</si>
  <si>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</si>
  <si>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</si>
  <si>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</si>
  <si>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</si>
  <si>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</si>
  <si>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</si>
  <si>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</si>
  <si>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</si>
  <si>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</si>
  <si>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</si>
  <si>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</si>
  <si>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</si>
  <si>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</si>
  <si>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</si>
  <si>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</si>
  <si>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</si>
  <si>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</si>
  <si>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</si>
  <si>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</si>
  <si>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</si>
  <si>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</si>
  <si>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</si>
  <si>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</si>
  <si>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</si>
  <si>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</si>
  <si>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</si>
  <si>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</si>
  <si>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</si>
  <si>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</si>
  <si>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</si>
  <si>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</si>
  <si>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</si>
  <si>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</si>
  <si>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</si>
  <si>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</si>
  <si>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</si>
  <si>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</si>
  <si>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</si>
  <si>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</si>
  <si>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</si>
  <si>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</si>
  <si>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</si>
  <si>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</si>
  <si>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</si>
  <si>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</si>
  <si>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</si>
  <si>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</si>
  <si>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</si>
  <si>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</si>
  <si>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</si>
  <si>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</si>
  <si>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</si>
  <si>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</si>
  <si>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</si>
  <si>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</si>
  <si>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</si>
  <si>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</si>
  <si>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</si>
  <si>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</si>
  <si>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</si>
  <si>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</si>
  <si>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</si>
  <si>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</si>
  <si>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</si>
  <si>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</si>
  <si>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</si>
  <si>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</si>
  <si>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</si>
  <si>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</si>
  <si>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</si>
  <si>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</si>
  <si>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</si>
  <si>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</si>
  <si>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</si>
  <si>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</si>
  <si>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</si>
  <si>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</si>
  <si>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</si>
  <si>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</si>
  <si>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</si>
  <si>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</si>
  <si>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</si>
  <si>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</si>
  <si>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</si>
  <si>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</si>
  <si>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</si>
  <si>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</si>
  <si>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</si>
  <si>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</si>
  <si>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</si>
  <si>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</si>
  <si>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</si>
  <si>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</si>
  <si>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</si>
  <si>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</si>
  <si>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</si>
  <si>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</si>
  <si>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</si>
  <si>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</si>
  <si>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</si>
  <si>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</si>
  <si>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</si>
  <si>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</si>
  <si>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</si>
  <si>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</si>
  <si>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</si>
  <si>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</si>
  <si>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</si>
  <si>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</si>
  <si>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</si>
  <si>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</si>
  <si>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</si>
  <si>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</si>
  <si>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Costalot Stables</t>
  </si>
  <si>
    <t>F/22/93119</t>
  </si>
  <si>
    <t>Mobile Home at Costalot Stable, Blind Lane, Horton Heath, West End, Southampton, SO30 2HJ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</si>
</sst>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0" fillId="2" borderId="0" xfId="0" applyFill="1"/>
    <xf numFmtId="0" fontId="1" fillId="2" borderId="0" xfId="0" applyFont="1" applyFill="1"/>
    <xf numFmtId="0" fontId="3" fillId="2" borderId="0" xfId="0" applyFont="1" applyFill="1" applyBorder="1" applyAlignment="1">
      <alignment horizontal="left"/>
    </xf>
    <xf numFmtId="0" fontId="0" fillId="2" borderId="0" xfId="0" applyFill="1" applyBorder="1"/>
    <xf numFmtId="0" fontId="4" fillId="2" borderId="0" xfId="0" applyFont="1" applyFill="1" applyBorder="1" applyAlignment="1">
      <alignment horizontal="left"/>
    </xf>
    <xf numFmtId="0" fontId="5" fillId="2" borderId="0" xfId="0" applyFont="1" applyFill="1" applyBorder="1" applyAlignment="1">
      <alignment horizontal="left"/>
    </xf>
    <xf numFmtId="14" fontId="3" fillId="2" borderId="0" xfId="0" applyNumberFormat="1" applyFont="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2" fontId="3" fillId="2" borderId="0" xfId="0" applyNumberFormat="1" applyFont="1" applyFill="1" applyBorder="1" applyAlignment="1">
      <alignment horizontal="center" vertical="center"/>
    </xf>
    <xf numFmtId="2" fontId="5" fillId="2" borderId="0" xfId="0" applyNumberFormat="1" applyFont="1" applyFill="1" applyBorder="1" applyAlignment="1">
      <alignment horizontal="center" vertical="center"/>
    </xf>
    <xf numFmtId="0" fontId="8" fillId="2" borderId="1" xfId="0" applyFont="1" applyFill="1" applyBorder="1"/>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Border="1" applyAlignment="1">
      <alignment horizontal="center" vertical="center"/>
    </xf>
    <xf numFmtId="0" fontId="8" fillId="2" borderId="0" xfId="0" applyFont="1" applyFill="1" applyBorder="1" applyAlignment="1">
      <alignment horizontal="left" vertical="center"/>
    </xf>
    <xf numFmtId="2" fontId="8" fillId="4" borderId="0" xfId="0" applyNumberFormat="1" applyFont="1" applyFill="1" applyBorder="1" applyAlignment="1">
      <alignment horizontal="center" vertical="center"/>
    </xf>
    <xf numFmtId="2" fontId="8" fillId="2" borderId="0" xfId="0" applyNumberFormat="1" applyFont="1" applyFill="1" applyBorder="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Border="1" applyAlignment="1">
      <alignment vertical="center" wrapText="1"/>
    </xf>
    <xf numFmtId="0" fontId="12" fillId="2" borderId="0" xfId="0" applyFont="1" applyFill="1" applyBorder="1" applyAlignment="1">
      <alignment vertical="center"/>
    </xf>
    <xf numFmtId="0" fontId="12" fillId="2" borderId="0" xfId="0" applyFont="1" applyFill="1" applyBorder="1" applyAlignment="1">
      <alignment vertical="center" wrapText="1"/>
    </xf>
    <xf numFmtId="0" fontId="12" fillId="2" borderId="0" xfId="0" applyFont="1" applyFill="1" applyBorder="1" applyAlignment="1">
      <alignment horizontal="left" vertical="center"/>
    </xf>
    <xf numFmtId="2" fontId="12" fillId="2" borderId="0" xfId="0" applyNumberFormat="1" applyFont="1" applyFill="1" applyBorder="1" applyAlignment="1">
      <alignment horizontal="left" vertical="center"/>
    </xf>
    <xf numFmtId="0" fontId="12" fillId="2" borderId="0" xfId="0" applyFont="1" applyFill="1" applyBorder="1"/>
    <xf numFmtId="0" fontId="10"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Border="1" applyAlignment="1">
      <alignment horizontal="left" vertical="center"/>
    </xf>
    <xf numFmtId="0" fontId="8" fillId="5" borderId="1" xfId="0" applyFont="1" applyFill="1" applyBorder="1" applyAlignment="1">
      <alignment horizontal="left" vertical="center"/>
    </xf>
    <xf numFmtId="0" fontId="12" fillId="5" borderId="0" xfId="0" applyFont="1" applyFill="1" applyBorder="1" applyAlignment="1">
      <alignment horizontal="left" vertical="center"/>
    </xf>
    <xf numFmtId="0" fontId="13" fillId="5" borderId="0" xfId="0" applyFont="1" applyFill="1" applyBorder="1" applyAlignment="1">
      <alignment horizontal="left" vertical="center"/>
    </xf>
    <xf numFmtId="0" fontId="12" fillId="5" borderId="0" xfId="0" applyFont="1" applyFill="1" applyBorder="1"/>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Border="1" applyAlignment="1">
      <alignment horizontal="left" vertical="center" wrapText="1"/>
    </xf>
    <xf numFmtId="0" fontId="12" fillId="4" borderId="0" xfId="0" applyFont="1" applyFill="1" applyBorder="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Border="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21" fillId="2" borderId="0" xfId="0" applyFont="1" applyFill="1" applyBorder="1" applyAlignment="1">
      <alignment vertical="center" wrapText="1"/>
    </xf>
    <xf numFmtId="14" fontId="8" fillId="2" borderId="0" xfId="0" applyNumberFormat="1" applyFont="1" applyFill="1" applyBorder="1" applyAlignment="1">
      <alignment vertical="center" wrapText="1"/>
    </xf>
    <xf numFmtId="0" fontId="8"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0" fillId="2" borderId="0" xfId="0" applyFill="1" applyAlignment="1">
      <alignment horizontal="left"/>
    </xf>
    <xf numFmtId="2" fontId="8" fillId="2" borderId="0" xfId="0" applyNumberFormat="1" applyFont="1" applyFill="1" applyBorder="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applyBorder="1"/>
    <xf numFmtId="0" fontId="19" fillId="2" borderId="0" xfId="0" applyFont="1" applyFill="1" applyBorder="1" applyAlignment="1">
      <alignment horizontal="left"/>
    </xf>
    <xf numFmtId="0" fontId="23" fillId="2" borderId="0" xfId="0" applyFont="1" applyFill="1" applyBorder="1" applyAlignment="1">
      <alignment horizontal="left" vertical="center"/>
    </xf>
    <xf numFmtId="2" fontId="23" fillId="2" borderId="0" xfId="0" applyNumberFormat="1" applyFont="1" applyFill="1" applyBorder="1" applyAlignment="1">
      <alignment horizontal="left" vertical="center"/>
    </xf>
    <xf numFmtId="0" fontId="24" fillId="2" borderId="0" xfId="0" applyFont="1" applyFill="1" applyBorder="1" applyAlignment="1">
      <alignment horizontal="left" vertical="center"/>
    </xf>
    <xf numFmtId="2" fontId="24" fillId="2" borderId="0" xfId="0" applyNumberFormat="1" applyFont="1" applyFill="1" applyBorder="1" applyAlignment="1">
      <alignment horizontal="left" vertical="center"/>
    </xf>
    <xf numFmtId="0" fontId="23" fillId="2" borderId="0" xfId="0" applyFont="1" applyFill="1" applyBorder="1" applyAlignment="1">
      <alignment horizontal="center" vertical="center"/>
    </xf>
    <xf numFmtId="2" fontId="23" fillId="2" borderId="0" xfId="0" applyNumberFormat="1" applyFont="1" applyFill="1" applyBorder="1" applyAlignment="1">
      <alignment horizontal="center" vertical="center"/>
    </xf>
    <xf numFmtId="2" fontId="24" fillId="2" borderId="0" xfId="0" applyNumberFormat="1" applyFont="1" applyFill="1" applyBorder="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Border="1" applyAlignment="1">
      <alignment horizontal="center" vertical="center" wrapText="1"/>
    </xf>
    <xf numFmtId="2" fontId="12" fillId="4" borderId="14" xfId="0" applyNumberFormat="1" applyFont="1" applyFill="1" applyBorder="1" applyAlignment="1">
      <alignment horizontal="center" vertical="center" wrapText="1"/>
    </xf>
    <xf numFmtId="2" fontId="8" fillId="2" borderId="0" xfId="0" applyNumberFormat="1" applyFont="1" applyFill="1" applyBorder="1" applyAlignment="1">
      <alignment vertical="center"/>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Border="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9" fillId="2" borderId="0"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Border="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Border="1" applyAlignment="1">
      <alignment horizontal="left" vertical="top" indent="2"/>
    </xf>
    <xf numFmtId="0" fontId="12" fillId="2" borderId="0" xfId="0" applyFont="1" applyFill="1" applyBorder="1" applyAlignment="1">
      <alignment horizontal="left" vertical="top" indent="2"/>
    </xf>
    <xf numFmtId="0" fontId="0" fillId="4" borderId="0" xfId="0" applyFill="1" applyBorder="1" applyAlignment="1">
      <alignment horizontal="left" vertical="top" indent="2"/>
    </xf>
    <xf numFmtId="0" fontId="0" fillId="5" borderId="0" xfId="0" applyFill="1" applyBorder="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1" fillId="0" borderId="0" xfId="0" applyFont="1" applyAlignment="1">
      <alignment horizontal="left" vertical="top"/>
    </xf>
    <xf numFmtId="0" fontId="12" fillId="2" borderId="0" xfId="0" applyFont="1" applyFill="1" applyBorder="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Border="1" applyAlignment="1">
      <alignment horizontal="left" vertical="top" indent="2"/>
    </xf>
    <xf numFmtId="0" fontId="0" fillId="5" borderId="7" xfId="0" applyFill="1" applyBorder="1"/>
    <xf numFmtId="0" fontId="0" fillId="5" borderId="0"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Border="1" applyAlignment="1">
      <alignment vertical="center" wrapText="1"/>
    </xf>
    <xf numFmtId="0" fontId="1" fillId="5" borderId="0" xfId="0" applyFont="1" applyFill="1" applyBorder="1"/>
    <xf numFmtId="0" fontId="3" fillId="5" borderId="0" xfId="0" applyFont="1" applyFill="1" applyBorder="1" applyAlignment="1">
      <alignment vertical="center"/>
    </xf>
    <xf numFmtId="0" fontId="3" fillId="5" borderId="0" xfId="0" applyFont="1" applyFill="1" applyBorder="1" applyAlignment="1">
      <alignment vertical="center" wrapText="1"/>
    </xf>
    <xf numFmtId="0" fontId="37" fillId="2" borderId="0" xfId="0" applyFont="1" applyFill="1" applyBorder="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Border="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applyAlignment="1"/>
    <xf numFmtId="0" fontId="19" fillId="2" borderId="2" xfId="0" applyFont="1" applyFill="1" applyBorder="1"/>
    <xf numFmtId="0" fontId="38" fillId="5" borderId="0" xfId="0" applyFont="1" applyFill="1"/>
    <xf numFmtId="0" fontId="38" fillId="5" borderId="0" xfId="0" applyFont="1" applyFill="1" applyBorder="1"/>
    <xf numFmtId="14" fontId="39" fillId="5" borderId="0" xfId="0" applyNumberFormat="1" applyFont="1" applyFill="1" applyBorder="1" applyAlignment="1">
      <alignment vertical="center" wrapText="1"/>
    </xf>
    <xf numFmtId="0" fontId="39" fillId="5" borderId="0" xfId="0" applyFont="1" applyFill="1" applyBorder="1" applyAlignment="1">
      <alignment vertical="center"/>
    </xf>
    <xf numFmtId="0" fontId="39" fillId="5" borderId="0" xfId="0" applyFont="1" applyFill="1" applyBorder="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Border="1" applyAlignment="1">
      <alignment horizontal="center"/>
    </xf>
    <xf numFmtId="0" fontId="5" fillId="5" borderId="0" xfId="0" applyFont="1" applyFill="1" applyBorder="1" applyAlignment="1">
      <alignment horizontal="left"/>
    </xf>
    <xf numFmtId="0" fontId="4" fillId="5" borderId="0" xfId="0" applyFont="1" applyFill="1" applyBorder="1" applyAlignment="1">
      <alignment horizontal="left"/>
    </xf>
    <xf numFmtId="0" fontId="3" fillId="5" borderId="0" xfId="0" applyFont="1" applyFill="1" applyBorder="1" applyAlignment="1">
      <alignment horizontal="left"/>
    </xf>
    <xf numFmtId="0" fontId="3" fillId="5" borderId="0" xfId="0" applyFont="1" applyFill="1" applyBorder="1" applyAlignment="1">
      <alignment horizontal="left" vertical="center"/>
    </xf>
    <xf numFmtId="0" fontId="11" fillId="5" borderId="0" xfId="0" applyFont="1" applyFill="1" applyBorder="1" applyAlignment="1">
      <alignment horizontal="left"/>
    </xf>
    <xf numFmtId="0" fontId="11" fillId="5" borderId="0" xfId="0" applyFont="1" applyFill="1" applyBorder="1" applyAlignment="1">
      <alignment vertical="center"/>
    </xf>
    <xf numFmtId="0" fontId="11" fillId="5" borderId="0" xfId="0" applyFont="1" applyFill="1" applyBorder="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0" fontId="12" fillId="5" borderId="0" xfId="0" applyFont="1" applyFill="1" applyAlignment="1">
      <alignment horizontal="left" vertical="center"/>
    </xf>
    <xf numFmtId="2" fontId="0" fillId="5" borderId="5" xfId="0" applyNumberFormat="1" applyFill="1" applyBorder="1" applyAlignment="1">
      <alignment horizontal="left" vertical="center"/>
    </xf>
    <xf numFmtId="2" fontId="0" fillId="5" borderId="0" xfId="0" applyNumberFormat="1" applyFill="1" applyBorder="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Border="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Border="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Border="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Border="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Border="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Border="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Border="1" applyAlignment="1">
      <alignment horizontal="left" wrapText="1" indent="2"/>
    </xf>
    <xf numFmtId="0" fontId="12" fillId="2" borderId="0" xfId="0" applyFont="1" applyFill="1" applyBorder="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Border="1" applyAlignment="1">
      <alignment horizontal="left" wrapText="1" indent="2"/>
    </xf>
    <xf numFmtId="0" fontId="33" fillId="6" borderId="0" xfId="0" applyFont="1" applyFill="1" applyAlignment="1">
      <alignment horizontal="left" vertical="center" indent="2"/>
    </xf>
    <xf numFmtId="0" fontId="13" fillId="0" borderId="0" xfId="0" applyFont="1" applyBorder="1" applyAlignment="1">
      <alignment horizontal="left" vertical="top" wrapText="1"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3" fillId="0" borderId="10" xfId="0" applyFont="1" applyBorder="1" applyAlignment="1">
      <alignment horizontal="left" vertical="top" indent="2"/>
    </xf>
    <xf numFmtId="0" fontId="13" fillId="0" borderId="0" xfId="0" applyFont="1" applyBorder="1" applyAlignment="1">
      <alignment horizontal="left" vertical="top" indent="2"/>
    </xf>
    <xf numFmtId="0" fontId="31" fillId="0" borderId="10" xfId="0" applyFont="1" applyBorder="1" applyAlignment="1">
      <alignment horizontal="left" vertical="top" indent="2"/>
    </xf>
    <xf numFmtId="0" fontId="31" fillId="0" borderId="0" xfId="0" applyFont="1" applyBorder="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Border="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Border="1" applyAlignment="1">
      <alignment horizontal="left" vertical="top" wrapText="1" indent="2"/>
    </xf>
    <xf numFmtId="0" fontId="30" fillId="0" borderId="10" xfId="0" applyFont="1" applyBorder="1" applyAlignment="1">
      <alignment horizontal="left" vertical="center" indent="2"/>
    </xf>
    <xf numFmtId="0" fontId="30" fillId="0" borderId="0" xfId="0" applyFont="1" applyBorder="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Border="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Border="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Border="1" applyAlignment="1">
      <alignment horizontal="center" vertical="center" wrapText="1"/>
    </xf>
    <xf numFmtId="0" fontId="35" fillId="2" borderId="0" xfId="0" applyFont="1" applyFill="1" applyAlignment="1">
      <alignment horizontal="center"/>
    </xf>
    <xf numFmtId="0" fontId="9" fillId="2" borderId="0" xfId="0" applyFont="1" applyFill="1" applyBorder="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6" fillId="6" borderId="0" xfId="0" applyFont="1" applyFill="1" applyAlignment="1">
      <alignment horizontal="left" vertical="center" indent="3"/>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35" fillId="2" borderId="0" xfId="0" applyFont="1" applyFill="1" applyBorder="1" applyAlignment="1">
      <alignment horizontal="center" vertical="center"/>
    </xf>
    <xf numFmtId="0" fontId="22" fillId="2" borderId="0" xfId="0" applyFont="1" applyFill="1" applyBorder="1" applyAlignment="1">
      <alignment horizontal="center" vertical="top"/>
    </xf>
    <xf numFmtId="0" fontId="8"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xf>
    <xf numFmtId="2" fontId="16" fillId="4" borderId="0" xfId="0" applyNumberFormat="1" applyFont="1" applyFill="1" applyBorder="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110"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52" zoomScaleNormal="100" workbookViewId="0">
      <selection activeCell="B36" sqref="B36:M36"/>
    </sheetView>
  </sheetViews>
  <sheetFormatPr defaultColWidth="9.109375" defaultRowHeight="14.4" x14ac:dyDescent="0.3"/>
  <cols>
    <col min="1" max="13" width="9.109375" style="160"/>
    <col min="14" max="14" width="1.6640625" style="160" customWidth="1"/>
    <col min="15" max="16384" width="9.109375" style="160"/>
  </cols>
  <sheetData>
    <row r="2" spans="2:14" ht="15" thickBot="1" x14ac:dyDescent="0.35"/>
    <row r="3" spans="2:14" ht="15.75" customHeight="1" thickTop="1" x14ac:dyDescent="0.3">
      <c r="B3" s="236" t="s">
        <v>202</v>
      </c>
      <c r="C3" s="237"/>
      <c r="D3" s="237"/>
      <c r="E3" s="237"/>
      <c r="F3" s="237"/>
      <c r="G3" s="237"/>
      <c r="H3" s="237"/>
      <c r="I3" s="237"/>
      <c r="J3" s="237"/>
      <c r="K3" s="237"/>
      <c r="L3" s="237"/>
      <c r="M3" s="237"/>
      <c r="N3" s="238"/>
    </row>
    <row r="4" spans="2:14" ht="15" customHeight="1" x14ac:dyDescent="0.3">
      <c r="B4" s="239"/>
      <c r="C4" s="240"/>
      <c r="D4" s="240"/>
      <c r="E4" s="240"/>
      <c r="F4" s="240"/>
      <c r="G4" s="240"/>
      <c r="H4" s="240"/>
      <c r="I4" s="240"/>
      <c r="J4" s="240"/>
      <c r="K4" s="240"/>
      <c r="L4" s="240"/>
      <c r="M4" s="240"/>
      <c r="N4" s="241"/>
    </row>
    <row r="5" spans="2:14" ht="15" customHeight="1" x14ac:dyDescent="0.3">
      <c r="B5" s="239"/>
      <c r="C5" s="240"/>
      <c r="D5" s="240"/>
      <c r="E5" s="240"/>
      <c r="F5" s="240"/>
      <c r="G5" s="240"/>
      <c r="H5" s="240"/>
      <c r="I5" s="240"/>
      <c r="J5" s="240"/>
      <c r="K5" s="240"/>
      <c r="L5" s="240"/>
      <c r="M5" s="240"/>
      <c r="N5" s="241"/>
    </row>
    <row r="6" spans="2:14" ht="8.25" customHeight="1" x14ac:dyDescent="0.3">
      <c r="B6" s="154"/>
      <c r="C6" s="4"/>
      <c r="D6" s="4"/>
      <c r="E6" s="4"/>
      <c r="F6" s="4"/>
      <c r="G6" s="4"/>
      <c r="H6" s="4"/>
      <c r="I6" s="4"/>
      <c r="J6" s="4"/>
      <c r="K6" s="4"/>
      <c r="L6" s="4"/>
      <c r="M6" s="4"/>
      <c r="N6" s="131"/>
    </row>
    <row r="7" spans="2:14" ht="56.25" customHeight="1" x14ac:dyDescent="0.3">
      <c r="B7" s="242" t="s">
        <v>246</v>
      </c>
      <c r="C7" s="243"/>
      <c r="D7" s="243"/>
      <c r="E7" s="243"/>
      <c r="F7" s="243"/>
      <c r="G7" s="243"/>
      <c r="H7" s="243"/>
      <c r="I7" s="243"/>
      <c r="J7" s="243"/>
      <c r="K7" s="243"/>
      <c r="L7" s="243"/>
      <c r="M7" s="243"/>
      <c r="N7" s="131"/>
    </row>
    <row r="8" spans="2:14" ht="59.25" customHeight="1" x14ac:dyDescent="0.3">
      <c r="B8" s="244" t="s">
        <v>247</v>
      </c>
      <c r="C8" s="245"/>
      <c r="D8" s="245"/>
      <c r="E8" s="245"/>
      <c r="F8" s="245"/>
      <c r="G8" s="245"/>
      <c r="H8" s="245"/>
      <c r="I8" s="245"/>
      <c r="J8" s="245"/>
      <c r="K8" s="245"/>
      <c r="L8" s="245"/>
      <c r="M8" s="245"/>
      <c r="N8" s="131"/>
    </row>
    <row r="9" spans="2:14" x14ac:dyDescent="0.3">
      <c r="B9" s="155"/>
      <c r="C9" s="30"/>
      <c r="D9" s="30"/>
      <c r="E9" s="30"/>
      <c r="F9" s="30"/>
      <c r="G9" s="30"/>
      <c r="H9" s="30"/>
      <c r="I9" s="30"/>
      <c r="J9" s="30"/>
      <c r="K9" s="30"/>
      <c r="L9" s="30"/>
      <c r="M9" s="30"/>
      <c r="N9" s="131"/>
    </row>
    <row r="10" spans="2:14" x14ac:dyDescent="0.3">
      <c r="B10" s="155"/>
      <c r="C10" s="30"/>
      <c r="D10" s="30"/>
      <c r="E10" s="30"/>
      <c r="F10" s="30"/>
      <c r="G10" s="30"/>
      <c r="H10" s="30"/>
      <c r="I10" s="30"/>
      <c r="J10" s="30"/>
      <c r="K10" s="30"/>
      <c r="L10" s="30"/>
      <c r="M10" s="30"/>
      <c r="N10" s="131"/>
    </row>
    <row r="11" spans="2:14" x14ac:dyDescent="0.3">
      <c r="B11" s="155"/>
      <c r="C11" s="30"/>
      <c r="D11" s="30"/>
      <c r="E11" s="30"/>
      <c r="F11" s="30"/>
      <c r="G11" s="30"/>
      <c r="H11" s="30"/>
      <c r="I11" s="30"/>
      <c r="J11" s="30"/>
      <c r="K11" s="30"/>
      <c r="L11" s="30"/>
      <c r="M11" s="30"/>
      <c r="N11" s="131"/>
    </row>
    <row r="12" spans="2:14" x14ac:dyDescent="0.3">
      <c r="B12" s="155"/>
      <c r="C12" s="30"/>
      <c r="D12" s="30"/>
      <c r="E12" s="30"/>
      <c r="F12" s="30"/>
      <c r="G12" s="30"/>
      <c r="H12" s="30"/>
      <c r="I12" s="30"/>
      <c r="J12" s="30"/>
      <c r="K12" s="30"/>
      <c r="L12" s="30"/>
      <c r="M12" s="30"/>
      <c r="N12" s="131"/>
    </row>
    <row r="13" spans="2:14" x14ac:dyDescent="0.3">
      <c r="B13" s="155"/>
      <c r="C13" s="30"/>
      <c r="D13" s="30"/>
      <c r="E13" s="30"/>
      <c r="F13" s="30"/>
      <c r="G13" s="30"/>
      <c r="H13" s="30"/>
      <c r="I13" s="30"/>
      <c r="J13" s="30"/>
      <c r="K13" s="30"/>
      <c r="L13" s="30"/>
      <c r="M13" s="30"/>
      <c r="N13" s="131"/>
    </row>
    <row r="14" spans="2:14" x14ac:dyDescent="0.3">
      <c r="B14" s="155"/>
      <c r="C14" s="30"/>
      <c r="D14" s="30"/>
      <c r="E14" s="30"/>
      <c r="F14" s="30"/>
      <c r="G14" s="30"/>
      <c r="H14" s="30"/>
      <c r="I14" s="30"/>
      <c r="J14" s="30"/>
      <c r="K14" s="30"/>
      <c r="L14" s="30"/>
      <c r="M14" s="30"/>
      <c r="N14" s="131"/>
    </row>
    <row r="15" spans="2:14" x14ac:dyDescent="0.3">
      <c r="B15" s="155"/>
      <c r="C15" s="30"/>
      <c r="D15" s="30"/>
      <c r="E15" s="30"/>
      <c r="F15" s="30"/>
      <c r="G15" s="30"/>
      <c r="H15" s="30"/>
      <c r="I15" s="30"/>
      <c r="J15" s="30"/>
      <c r="K15" s="30"/>
      <c r="L15" s="30"/>
      <c r="M15" s="30"/>
      <c r="N15" s="131"/>
    </row>
    <row r="16" spans="2:14" x14ac:dyDescent="0.3">
      <c r="B16" s="155"/>
      <c r="C16" s="30"/>
      <c r="D16" s="30"/>
      <c r="E16" s="30"/>
      <c r="F16" s="30"/>
      <c r="G16" s="30"/>
      <c r="H16" s="30"/>
      <c r="I16" s="30"/>
      <c r="J16" s="30"/>
      <c r="K16" s="30"/>
      <c r="L16" s="30"/>
      <c r="M16" s="30"/>
      <c r="N16" s="131"/>
    </row>
    <row r="17" spans="2:14" x14ac:dyDescent="0.3">
      <c r="B17" s="155"/>
      <c r="C17" s="30"/>
      <c r="D17" s="30"/>
      <c r="E17" s="30"/>
      <c r="F17" s="30"/>
      <c r="G17" s="30"/>
      <c r="H17" s="30"/>
      <c r="I17" s="30"/>
      <c r="J17" s="30"/>
      <c r="K17" s="30"/>
      <c r="L17" s="30"/>
      <c r="M17" s="30"/>
      <c r="N17" s="131"/>
    </row>
    <row r="18" spans="2:14" x14ac:dyDescent="0.3">
      <c r="B18" s="155"/>
      <c r="C18" s="30"/>
      <c r="D18" s="30"/>
      <c r="E18" s="30"/>
      <c r="F18" s="30"/>
      <c r="G18" s="30"/>
      <c r="H18" s="30"/>
      <c r="I18" s="30"/>
      <c r="J18" s="30"/>
      <c r="K18" s="30"/>
      <c r="L18" s="30"/>
      <c r="M18" s="30"/>
      <c r="N18" s="131"/>
    </row>
    <row r="19" spans="2:14" x14ac:dyDescent="0.3">
      <c r="B19" s="155"/>
      <c r="C19" s="30"/>
      <c r="D19" s="30"/>
      <c r="E19" s="30"/>
      <c r="F19" s="30"/>
      <c r="G19" s="30"/>
      <c r="H19" s="30"/>
      <c r="I19" s="30"/>
      <c r="J19" s="30"/>
      <c r="K19" s="30"/>
      <c r="L19" s="30"/>
      <c r="M19" s="30"/>
      <c r="N19" s="131"/>
    </row>
    <row r="20" spans="2:14" x14ac:dyDescent="0.3">
      <c r="B20" s="155"/>
      <c r="C20" s="30"/>
      <c r="D20" s="30"/>
      <c r="E20" s="30"/>
      <c r="F20" s="30"/>
      <c r="G20" s="30"/>
      <c r="H20" s="30"/>
      <c r="I20" s="30"/>
      <c r="J20" s="30"/>
      <c r="K20" s="30"/>
      <c r="L20" s="30"/>
      <c r="M20" s="30"/>
      <c r="N20" s="131"/>
    </row>
    <row r="21" spans="2:14" x14ac:dyDescent="0.3">
      <c r="B21" s="155"/>
      <c r="C21" s="30"/>
      <c r="D21" s="30"/>
      <c r="E21" s="30"/>
      <c r="F21" s="30"/>
      <c r="G21" s="30"/>
      <c r="H21" s="30"/>
      <c r="I21" s="30"/>
      <c r="J21" s="30"/>
      <c r="K21" s="30"/>
      <c r="L21" s="30"/>
      <c r="M21" s="30"/>
      <c r="N21" s="131"/>
    </row>
    <row r="22" spans="2:14" x14ac:dyDescent="0.3">
      <c r="B22" s="155"/>
      <c r="C22" s="30"/>
      <c r="D22" s="30"/>
      <c r="E22" s="30"/>
      <c r="F22" s="30"/>
      <c r="G22" s="30"/>
      <c r="H22" s="30"/>
      <c r="I22" s="30"/>
      <c r="J22" s="30"/>
      <c r="K22" s="30"/>
      <c r="L22" s="30"/>
      <c r="M22" s="30"/>
      <c r="N22" s="131"/>
    </row>
    <row r="23" spans="2:14" x14ac:dyDescent="0.3">
      <c r="B23" s="155"/>
      <c r="C23" s="30"/>
      <c r="D23" s="30"/>
      <c r="E23" s="30"/>
      <c r="F23" s="30"/>
      <c r="G23" s="30"/>
      <c r="H23" s="30"/>
      <c r="I23" s="30"/>
      <c r="J23" s="30"/>
      <c r="K23" s="30"/>
      <c r="L23" s="30"/>
      <c r="M23" s="30"/>
      <c r="N23" s="131"/>
    </row>
    <row r="24" spans="2:14" x14ac:dyDescent="0.3">
      <c r="B24" s="155"/>
      <c r="C24" s="30"/>
      <c r="D24" s="30"/>
      <c r="E24" s="30"/>
      <c r="F24" s="30"/>
      <c r="G24" s="30"/>
      <c r="H24" s="30"/>
      <c r="I24" s="30"/>
      <c r="J24" s="30"/>
      <c r="K24" s="30"/>
      <c r="L24" s="30"/>
      <c r="M24" s="30"/>
      <c r="N24" s="131"/>
    </row>
    <row r="25" spans="2:14" x14ac:dyDescent="0.3">
      <c r="B25" s="155"/>
      <c r="C25" s="30"/>
      <c r="D25" s="30"/>
      <c r="E25" s="30"/>
      <c r="F25" s="30"/>
      <c r="G25" s="30"/>
      <c r="H25" s="30"/>
      <c r="I25" s="30"/>
      <c r="J25" s="30"/>
      <c r="K25" s="30"/>
      <c r="L25" s="30"/>
      <c r="M25" s="30"/>
      <c r="N25" s="131"/>
    </row>
    <row r="26" spans="2:14" x14ac:dyDescent="0.3">
      <c r="B26" s="155"/>
      <c r="C26" s="30"/>
      <c r="D26" s="30"/>
      <c r="E26" s="30"/>
      <c r="F26" s="30"/>
      <c r="G26" s="30"/>
      <c r="H26" s="30"/>
      <c r="I26" s="30"/>
      <c r="J26" s="30"/>
      <c r="K26" s="30"/>
      <c r="L26" s="30"/>
      <c r="M26" s="30"/>
      <c r="N26" s="131"/>
    </row>
    <row r="27" spans="2:14" x14ac:dyDescent="0.3">
      <c r="B27" s="155"/>
      <c r="C27" s="30"/>
      <c r="D27" s="30"/>
      <c r="E27" s="30"/>
      <c r="F27" s="30"/>
      <c r="G27" s="30"/>
      <c r="H27" s="30"/>
      <c r="I27" s="30"/>
      <c r="J27" s="30"/>
      <c r="K27" s="30"/>
      <c r="L27" s="30"/>
      <c r="M27" s="30"/>
      <c r="N27" s="131"/>
    </row>
    <row r="28" spans="2:14" x14ac:dyDescent="0.3">
      <c r="B28" s="155"/>
      <c r="C28" s="30"/>
      <c r="D28" s="30"/>
      <c r="E28" s="30"/>
      <c r="F28" s="30"/>
      <c r="G28" s="30"/>
      <c r="H28" s="30"/>
      <c r="I28" s="30"/>
      <c r="J28" s="30"/>
      <c r="K28" s="30"/>
      <c r="L28" s="30"/>
      <c r="M28" s="30"/>
      <c r="N28" s="131"/>
    </row>
    <row r="29" spans="2:14" x14ac:dyDescent="0.3">
      <c r="B29" s="155"/>
      <c r="C29" s="30"/>
      <c r="D29" s="30"/>
      <c r="E29" s="30"/>
      <c r="F29" s="30"/>
      <c r="G29" s="30"/>
      <c r="H29" s="30"/>
      <c r="I29" s="30"/>
      <c r="J29" s="30"/>
      <c r="K29" s="30"/>
      <c r="L29" s="30"/>
      <c r="M29" s="30"/>
      <c r="N29" s="131"/>
    </row>
    <row r="30" spans="2:14" x14ac:dyDescent="0.3">
      <c r="B30" s="155"/>
      <c r="C30" s="30"/>
      <c r="D30" s="30"/>
      <c r="E30" s="30"/>
      <c r="F30" s="30"/>
      <c r="G30" s="30"/>
      <c r="H30" s="30"/>
      <c r="I30" s="30"/>
      <c r="J30" s="30"/>
      <c r="K30" s="30"/>
      <c r="L30" s="30"/>
      <c r="M30" s="30"/>
      <c r="N30" s="131"/>
    </row>
    <row r="31" spans="2:14" x14ac:dyDescent="0.3">
      <c r="B31" s="155"/>
      <c r="C31" s="30"/>
      <c r="D31" s="30"/>
      <c r="E31" s="30"/>
      <c r="F31" s="30"/>
      <c r="G31" s="30"/>
      <c r="H31" s="30"/>
      <c r="I31" s="30"/>
      <c r="J31" s="30"/>
      <c r="K31" s="30"/>
      <c r="L31" s="30"/>
      <c r="M31" s="30"/>
      <c r="N31" s="131"/>
    </row>
    <row r="32" spans="2:14" x14ac:dyDescent="0.3">
      <c r="B32" s="155"/>
      <c r="C32" s="30"/>
      <c r="D32" s="30"/>
      <c r="E32" s="30"/>
      <c r="F32" s="30"/>
      <c r="G32" s="30"/>
      <c r="H32" s="30"/>
      <c r="I32" s="30"/>
      <c r="J32" s="30"/>
      <c r="K32" s="30"/>
      <c r="L32" s="30"/>
      <c r="M32" s="30"/>
      <c r="N32" s="131"/>
    </row>
    <row r="33" spans="2:14" x14ac:dyDescent="0.3">
      <c r="B33" s="155"/>
      <c r="C33" s="30"/>
      <c r="D33" s="30"/>
      <c r="E33" s="30"/>
      <c r="F33" s="30"/>
      <c r="G33" s="30"/>
      <c r="H33" s="30"/>
      <c r="I33" s="30"/>
      <c r="J33" s="30"/>
      <c r="K33" s="30"/>
      <c r="L33" s="30"/>
      <c r="M33" s="30"/>
      <c r="N33" s="131"/>
    </row>
    <row r="34" spans="2:14" ht="57.75" customHeight="1" x14ac:dyDescent="0.3">
      <c r="B34" s="244" t="s">
        <v>248</v>
      </c>
      <c r="C34" s="245"/>
      <c r="D34" s="245"/>
      <c r="E34" s="245"/>
      <c r="F34" s="245"/>
      <c r="G34" s="245"/>
      <c r="H34" s="245"/>
      <c r="I34" s="245"/>
      <c r="J34" s="245"/>
      <c r="K34" s="245"/>
      <c r="L34" s="245"/>
      <c r="M34" s="245"/>
      <c r="N34" s="131"/>
    </row>
    <row r="35" spans="2:14" ht="60" customHeight="1" x14ac:dyDescent="0.3">
      <c r="B35" s="242" t="s">
        <v>238</v>
      </c>
      <c r="C35" s="246"/>
      <c r="D35" s="246"/>
      <c r="E35" s="246"/>
      <c r="F35" s="246"/>
      <c r="G35" s="246"/>
      <c r="H35" s="246"/>
      <c r="I35" s="246"/>
      <c r="J35" s="246"/>
      <c r="K35" s="246"/>
      <c r="L35" s="246"/>
      <c r="M35" s="246"/>
      <c r="N35" s="131"/>
    </row>
    <row r="36" spans="2:14" ht="81.75" customHeight="1" thickBot="1" x14ac:dyDescent="0.35">
      <c r="B36" s="234" t="s">
        <v>249</v>
      </c>
      <c r="C36" s="235"/>
      <c r="D36" s="235"/>
      <c r="E36" s="235"/>
      <c r="F36" s="235"/>
      <c r="G36" s="235"/>
      <c r="H36" s="235"/>
      <c r="I36" s="235"/>
      <c r="J36" s="235"/>
      <c r="K36" s="235"/>
      <c r="L36" s="235"/>
      <c r="M36" s="235"/>
      <c r="N36" s="158"/>
    </row>
    <row r="37" spans="2:14" ht="15" thickTop="1" x14ac:dyDescent="0.3">
      <c r="B37" s="33"/>
      <c r="C37" s="33"/>
      <c r="D37" s="33"/>
      <c r="E37" s="33"/>
      <c r="F37" s="33"/>
      <c r="G37" s="33"/>
      <c r="H37" s="33"/>
      <c r="I37" s="33"/>
      <c r="J37" s="33"/>
      <c r="K37" s="33"/>
      <c r="L37" s="33"/>
      <c r="M37" s="33"/>
    </row>
    <row r="38" spans="2:14" x14ac:dyDescent="0.3">
      <c r="B38" s="33"/>
      <c r="C38" s="33"/>
      <c r="D38" s="33"/>
      <c r="E38" s="33"/>
      <c r="F38" s="33"/>
      <c r="G38" s="33"/>
      <c r="H38" s="33"/>
      <c r="I38" s="33"/>
      <c r="J38" s="33"/>
      <c r="K38" s="33"/>
      <c r="L38" s="33"/>
      <c r="M38" s="33"/>
    </row>
    <row r="39" spans="2:14" x14ac:dyDescent="0.3">
      <c r="B39" s="33"/>
      <c r="C39" s="33"/>
      <c r="D39" s="33"/>
      <c r="E39" s="33"/>
      <c r="F39" s="33"/>
      <c r="G39" s="33"/>
      <c r="H39" s="33"/>
      <c r="I39" s="33"/>
      <c r="J39" s="33"/>
      <c r="K39" s="33"/>
      <c r="L39" s="33"/>
      <c r="M39" s="33"/>
    </row>
    <row r="40" spans="2:14" x14ac:dyDescent="0.3">
      <c r="B40" s="33"/>
      <c r="C40" s="33"/>
      <c r="D40" s="33"/>
      <c r="E40" s="33"/>
      <c r="F40" s="33"/>
      <c r="G40" s="33"/>
      <c r="H40" s="33"/>
      <c r="I40" s="33"/>
      <c r="J40" s="33"/>
      <c r="K40" s="33"/>
      <c r="L40" s="33"/>
      <c r="M40" s="33"/>
    </row>
    <row r="41" spans="2:14" x14ac:dyDescent="0.3">
      <c r="B41" s="33"/>
      <c r="C41" s="33"/>
      <c r="D41" s="33"/>
      <c r="E41" s="33"/>
      <c r="F41" s="33"/>
      <c r="G41" s="33"/>
      <c r="H41" s="33"/>
      <c r="I41" s="33"/>
      <c r="J41" s="33"/>
      <c r="K41" s="33"/>
      <c r="L41" s="33"/>
      <c r="M41" s="33"/>
    </row>
    <row r="42" spans="2:14" x14ac:dyDescent="0.3">
      <c r="B42" s="33"/>
      <c r="C42" s="33"/>
      <c r="D42" s="33"/>
      <c r="E42" s="33"/>
      <c r="F42" s="33"/>
      <c r="G42" s="33"/>
      <c r="H42" s="33"/>
      <c r="I42" s="33"/>
      <c r="J42" s="33"/>
      <c r="K42" s="33"/>
      <c r="L42" s="33"/>
      <c r="M42" s="33"/>
    </row>
    <row r="43" spans="2:14" x14ac:dyDescent="0.3">
      <c r="B43" s="33"/>
      <c r="C43" s="33"/>
      <c r="D43" s="33"/>
      <c r="E43" s="33"/>
      <c r="F43" s="33"/>
      <c r="G43" s="33"/>
      <c r="H43" s="33"/>
      <c r="I43" s="33"/>
      <c r="J43" s="33"/>
      <c r="K43" s="33"/>
      <c r="L43" s="33"/>
      <c r="M43" s="33"/>
    </row>
    <row r="44" spans="2:14" x14ac:dyDescent="0.3">
      <c r="B44" s="33"/>
      <c r="C44" s="33"/>
      <c r="D44" s="33"/>
      <c r="E44" s="33"/>
      <c r="F44" s="33"/>
      <c r="G44" s="33"/>
      <c r="H44" s="33"/>
      <c r="I44" s="33"/>
      <c r="J44" s="33"/>
      <c r="K44" s="33"/>
      <c r="L44" s="33"/>
      <c r="M44" s="33"/>
    </row>
    <row r="45" spans="2:14" x14ac:dyDescent="0.3">
      <c r="B45" s="33"/>
      <c r="C45" s="33"/>
      <c r="D45" s="33"/>
      <c r="E45" s="33"/>
      <c r="F45" s="33"/>
      <c r="G45" s="33"/>
      <c r="H45" s="33"/>
      <c r="I45" s="33"/>
      <c r="J45" s="33"/>
      <c r="K45" s="33"/>
      <c r="L45" s="33"/>
      <c r="M45" s="33"/>
    </row>
    <row r="46" spans="2:14" x14ac:dyDescent="0.3">
      <c r="B46" s="33"/>
      <c r="C46" s="33"/>
      <c r="D46" s="33"/>
      <c r="E46" s="33"/>
      <c r="F46" s="33"/>
      <c r="G46" s="33"/>
      <c r="H46" s="33"/>
      <c r="I46" s="33"/>
      <c r="J46" s="33"/>
      <c r="K46" s="33"/>
      <c r="L46" s="33"/>
      <c r="M46" s="33"/>
    </row>
    <row r="47" spans="2:14" x14ac:dyDescent="0.3">
      <c r="B47" s="33"/>
      <c r="C47" s="33"/>
      <c r="D47" s="33"/>
      <c r="E47" s="33"/>
      <c r="F47" s="33"/>
      <c r="G47" s="33"/>
      <c r="H47" s="33"/>
      <c r="I47" s="33"/>
      <c r="J47" s="33"/>
      <c r="K47" s="33"/>
      <c r="L47" s="33"/>
      <c r="M47" s="33"/>
    </row>
    <row r="48" spans="2:14"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row r="98" spans="2:13" x14ac:dyDescent="0.3">
      <c r="B98" s="33"/>
      <c r="C98" s="33"/>
      <c r="D98" s="33"/>
      <c r="E98" s="33"/>
      <c r="F98" s="33"/>
      <c r="G98" s="33"/>
      <c r="H98" s="33"/>
      <c r="I98" s="33"/>
      <c r="J98" s="33"/>
      <c r="K98" s="33"/>
      <c r="L98" s="33"/>
      <c r="M98" s="33"/>
    </row>
    <row r="99" spans="2:13" x14ac:dyDescent="0.3">
      <c r="B99" s="33"/>
      <c r="C99" s="33"/>
      <c r="D99" s="33"/>
      <c r="E99" s="33"/>
      <c r="F99" s="33"/>
      <c r="G99" s="33"/>
      <c r="H99" s="33"/>
      <c r="I99" s="33"/>
      <c r="J99" s="33"/>
      <c r="K99" s="33"/>
      <c r="L99" s="33"/>
      <c r="M99" s="33"/>
    </row>
    <row r="100" spans="2:13" x14ac:dyDescent="0.3">
      <c r="B100" s="33"/>
      <c r="C100" s="33"/>
      <c r="D100" s="33"/>
      <c r="E100" s="33"/>
      <c r="F100" s="33"/>
      <c r="G100" s="33"/>
      <c r="H100" s="33"/>
      <c r="I100" s="33"/>
      <c r="J100" s="33"/>
      <c r="K100" s="33"/>
      <c r="L100" s="33"/>
      <c r="M100" s="33"/>
    </row>
    <row r="101" spans="2:13" x14ac:dyDescent="0.3">
      <c r="B101" s="33"/>
      <c r="C101" s="33"/>
      <c r="D101" s="33"/>
      <c r="E101" s="33"/>
      <c r="F101" s="33"/>
      <c r="G101" s="33"/>
      <c r="H101" s="33"/>
      <c r="I101" s="33"/>
      <c r="J101" s="33"/>
      <c r="K101" s="33"/>
      <c r="L101" s="33"/>
      <c r="M101" s="33"/>
    </row>
    <row r="102" spans="2:13" x14ac:dyDescent="0.3">
      <c r="B102" s="33"/>
      <c r="C102" s="33"/>
      <c r="D102" s="33"/>
      <c r="E102" s="33"/>
      <c r="F102" s="33"/>
      <c r="G102" s="33"/>
      <c r="H102" s="33"/>
      <c r="I102" s="33"/>
      <c r="J102" s="33"/>
      <c r="K102" s="33"/>
      <c r="L102" s="33"/>
      <c r="M102" s="33"/>
    </row>
    <row r="103" spans="2:13" x14ac:dyDescent="0.3">
      <c r="B103" s="33"/>
      <c r="C103" s="33"/>
      <c r="D103" s="33"/>
      <c r="E103" s="33"/>
      <c r="F103" s="33"/>
      <c r="G103" s="33"/>
      <c r="H103" s="33"/>
      <c r="I103" s="33"/>
      <c r="J103" s="33"/>
      <c r="K103" s="33"/>
      <c r="L103" s="33"/>
      <c r="M103" s="33"/>
    </row>
    <row r="104" spans="2:13" x14ac:dyDescent="0.3">
      <c r="B104" s="33"/>
      <c r="C104" s="33"/>
      <c r="D104" s="33"/>
      <c r="E104" s="33"/>
      <c r="F104" s="33"/>
      <c r="G104" s="33"/>
      <c r="H104" s="33"/>
      <c r="I104" s="33"/>
      <c r="J104" s="33"/>
      <c r="K104" s="33"/>
      <c r="L104" s="33"/>
      <c r="M104" s="33"/>
    </row>
    <row r="105" spans="2:13" x14ac:dyDescent="0.3">
      <c r="B105" s="33"/>
      <c r="C105" s="33"/>
      <c r="D105" s="33"/>
      <c r="E105" s="33"/>
      <c r="F105" s="33"/>
      <c r="G105" s="33"/>
      <c r="H105" s="33"/>
      <c r="I105" s="33"/>
      <c r="J105" s="33"/>
      <c r="K105" s="33"/>
      <c r="L105" s="33"/>
      <c r="M105" s="33"/>
    </row>
    <row r="106" spans="2:13" x14ac:dyDescent="0.3">
      <c r="B106" s="33"/>
      <c r="C106" s="33"/>
      <c r="D106" s="33"/>
      <c r="E106" s="33"/>
      <c r="F106" s="33"/>
      <c r="G106" s="33"/>
      <c r="H106" s="33"/>
      <c r="I106" s="33"/>
      <c r="J106" s="33"/>
      <c r="K106" s="33"/>
      <c r="L106" s="33"/>
      <c r="M106" s="33"/>
    </row>
    <row r="107" spans="2:13" x14ac:dyDescent="0.3">
      <c r="B107" s="33"/>
      <c r="C107" s="33"/>
      <c r="D107" s="33"/>
      <c r="E107" s="33"/>
      <c r="F107" s="33"/>
      <c r="G107" s="33"/>
      <c r="H107" s="33"/>
      <c r="I107" s="33"/>
      <c r="J107" s="33"/>
      <c r="K107" s="33"/>
      <c r="L107" s="33"/>
      <c r="M107" s="33"/>
    </row>
    <row r="108" spans="2:13" x14ac:dyDescent="0.3">
      <c r="B108" s="33"/>
      <c r="C108" s="33"/>
      <c r="D108" s="33"/>
      <c r="E108" s="33"/>
      <c r="F108" s="33"/>
      <c r="G108" s="33"/>
      <c r="H108" s="33"/>
      <c r="I108" s="33"/>
      <c r="J108" s="33"/>
      <c r="K108" s="33"/>
      <c r="L108" s="33"/>
      <c r="M108" s="33"/>
    </row>
    <row r="109" spans="2:13" x14ac:dyDescent="0.3">
      <c r="B109" s="33"/>
      <c r="C109" s="33"/>
      <c r="D109" s="33"/>
      <c r="E109" s="33"/>
      <c r="F109" s="33"/>
      <c r="G109" s="33"/>
      <c r="H109" s="33"/>
      <c r="I109" s="33"/>
      <c r="J109" s="33"/>
      <c r="K109" s="33"/>
      <c r="L109" s="33"/>
      <c r="M109" s="33"/>
    </row>
    <row r="110" spans="2:13" x14ac:dyDescent="0.3">
      <c r="B110" s="33"/>
      <c r="C110" s="33"/>
      <c r="D110" s="33"/>
      <c r="E110" s="33"/>
      <c r="F110" s="33"/>
      <c r="G110" s="33"/>
      <c r="H110" s="33"/>
      <c r="I110" s="33"/>
      <c r="J110" s="33"/>
      <c r="K110" s="33"/>
      <c r="L110" s="33"/>
      <c r="M110" s="33"/>
    </row>
    <row r="111" spans="2:13" x14ac:dyDescent="0.3">
      <c r="B111" s="33"/>
      <c r="C111" s="33"/>
      <c r="D111" s="33"/>
      <c r="E111" s="33"/>
      <c r="F111" s="33"/>
      <c r="G111" s="33"/>
      <c r="H111" s="33"/>
      <c r="I111" s="33"/>
      <c r="J111" s="33"/>
      <c r="K111" s="33"/>
      <c r="L111" s="33"/>
      <c r="M111" s="33"/>
    </row>
    <row r="112" spans="2:13" x14ac:dyDescent="0.3">
      <c r="B112" s="33"/>
      <c r="C112" s="33"/>
      <c r="D112" s="33"/>
      <c r="E112" s="33"/>
      <c r="F112" s="33"/>
      <c r="G112" s="33"/>
      <c r="H112" s="33"/>
      <c r="I112" s="33"/>
      <c r="J112" s="33"/>
      <c r="K112" s="33"/>
      <c r="L112" s="33"/>
      <c r="M112" s="33"/>
    </row>
    <row r="113" spans="2:13" x14ac:dyDescent="0.3">
      <c r="B113" s="33"/>
      <c r="C113" s="33"/>
      <c r="D113" s="33"/>
      <c r="E113" s="33"/>
      <c r="F113" s="33"/>
      <c r="G113" s="33"/>
      <c r="H113" s="33"/>
      <c r="I113" s="33"/>
      <c r="J113" s="33"/>
      <c r="K113" s="33"/>
      <c r="L113" s="33"/>
      <c r="M113" s="33"/>
    </row>
    <row r="114" spans="2:13" x14ac:dyDescent="0.3">
      <c r="B114" s="33"/>
      <c r="C114" s="33"/>
      <c r="D114" s="33"/>
      <c r="E114" s="33"/>
      <c r="F114" s="33"/>
      <c r="G114" s="33"/>
      <c r="H114" s="33"/>
      <c r="I114" s="33"/>
      <c r="J114" s="33"/>
      <c r="K114" s="33"/>
      <c r="L114" s="33"/>
      <c r="M114" s="33"/>
    </row>
    <row r="115" spans="2:13" x14ac:dyDescent="0.3">
      <c r="B115" s="33"/>
      <c r="C115" s="33"/>
      <c r="D115" s="33"/>
      <c r="E115" s="33"/>
      <c r="F115" s="33"/>
      <c r="G115" s="33"/>
      <c r="H115" s="33"/>
      <c r="I115" s="33"/>
      <c r="J115" s="33"/>
      <c r="K115" s="33"/>
      <c r="L115" s="33"/>
      <c r="M115" s="33"/>
    </row>
    <row r="116" spans="2:13" x14ac:dyDescent="0.3">
      <c r="B116" s="33"/>
      <c r="C116" s="33"/>
      <c r="D116" s="33"/>
      <c r="E116" s="33"/>
      <c r="F116" s="33"/>
      <c r="G116" s="33"/>
      <c r="H116" s="33"/>
      <c r="I116" s="33"/>
      <c r="J116" s="33"/>
      <c r="K116" s="33"/>
      <c r="L116" s="33"/>
      <c r="M116" s="33"/>
    </row>
    <row r="117" spans="2:13" x14ac:dyDescent="0.3">
      <c r="B117" s="33"/>
      <c r="C117" s="33"/>
      <c r="D117" s="33"/>
      <c r="E117" s="33"/>
      <c r="F117" s="33"/>
      <c r="G117" s="33"/>
      <c r="H117" s="33"/>
      <c r="I117" s="33"/>
      <c r="J117" s="33"/>
      <c r="K117" s="33"/>
      <c r="L117" s="33"/>
      <c r="M117" s="33"/>
    </row>
    <row r="118" spans="2:13" x14ac:dyDescent="0.3">
      <c r="B118" s="33"/>
      <c r="C118" s="33"/>
      <c r="D118" s="33"/>
      <c r="E118" s="33"/>
      <c r="F118" s="33"/>
      <c r="G118" s="33"/>
      <c r="H118" s="33"/>
      <c r="I118" s="33"/>
      <c r="J118" s="33"/>
      <c r="K118" s="33"/>
      <c r="L118" s="33"/>
      <c r="M118" s="33"/>
    </row>
    <row r="119" spans="2:13" x14ac:dyDescent="0.3">
      <c r="B119" s="33"/>
      <c r="C119" s="33"/>
      <c r="D119" s="33"/>
      <c r="E119" s="33"/>
      <c r="F119" s="33"/>
      <c r="G119" s="33"/>
      <c r="H119" s="33"/>
      <c r="I119" s="33"/>
      <c r="J119" s="33"/>
      <c r="K119" s="33"/>
      <c r="L119" s="33"/>
      <c r="M119" s="33"/>
    </row>
    <row r="120" spans="2:13" x14ac:dyDescent="0.3">
      <c r="B120" s="33"/>
      <c r="C120" s="33"/>
      <c r="D120" s="33"/>
      <c r="E120" s="33"/>
      <c r="F120" s="33"/>
      <c r="G120" s="33"/>
      <c r="H120" s="33"/>
      <c r="I120" s="33"/>
      <c r="J120" s="33"/>
      <c r="K120" s="33"/>
      <c r="L120" s="33"/>
      <c r="M120" s="33"/>
    </row>
    <row r="121" spans="2:13" x14ac:dyDescent="0.3">
      <c r="B121" s="33"/>
      <c r="C121" s="33"/>
      <c r="D121" s="33"/>
      <c r="E121" s="33"/>
      <c r="F121" s="33"/>
      <c r="G121" s="33"/>
      <c r="H121" s="33"/>
      <c r="I121" s="33"/>
      <c r="J121" s="33"/>
      <c r="K121" s="33"/>
      <c r="L121" s="33"/>
      <c r="M121" s="33"/>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11" zoomScale="71" zoomScaleNormal="71" workbookViewId="0">
      <selection activeCell="B6" sqref="B6:M6"/>
    </sheetView>
  </sheetViews>
  <sheetFormatPr defaultColWidth="9.109375" defaultRowHeight="14.4" x14ac:dyDescent="0.3"/>
  <cols>
    <col min="1" max="13" width="9.109375" style="160"/>
    <col min="14" max="14" width="1.6640625" style="160" customWidth="1"/>
    <col min="15" max="26" width="9.109375" style="160"/>
    <col min="27" max="27" width="2.88671875" style="160" customWidth="1"/>
    <col min="28" max="29" width="9.109375" style="160" hidden="1" customWidth="1"/>
    <col min="30" max="30" width="8.5546875" style="160" hidden="1" customWidth="1"/>
    <col min="31" max="31" width="0.44140625" style="160" customWidth="1"/>
    <col min="32" max="16384" width="9.109375" style="160"/>
  </cols>
  <sheetData>
    <row r="3" spans="1:34" ht="15.75" customHeight="1" x14ac:dyDescent="0.3">
      <c r="A3" s="228"/>
      <c r="B3" s="249" t="s">
        <v>203</v>
      </c>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29"/>
      <c r="AG3" s="229"/>
      <c r="AH3" s="229"/>
    </row>
    <row r="4" spans="1:34" ht="15" customHeight="1" x14ac:dyDescent="0.3">
      <c r="A4" s="228"/>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29"/>
      <c r="AG4" s="229"/>
      <c r="AH4" s="229"/>
    </row>
    <row r="5" spans="1:34" ht="8.25" customHeight="1" x14ac:dyDescent="0.3">
      <c r="B5" s="154"/>
      <c r="C5" s="4"/>
      <c r="D5" s="4"/>
      <c r="E5" s="4"/>
      <c r="F5" s="4"/>
      <c r="G5" s="4"/>
      <c r="H5" s="4"/>
      <c r="I5" s="4"/>
      <c r="J5" s="4"/>
      <c r="K5" s="4"/>
      <c r="L5" s="4"/>
      <c r="M5" s="4"/>
      <c r="N5" s="131"/>
    </row>
    <row r="6" spans="1:34" ht="26.25" customHeight="1" x14ac:dyDescent="0.3">
      <c r="B6" s="242" t="s">
        <v>250</v>
      </c>
      <c r="C6" s="243"/>
      <c r="D6" s="243"/>
      <c r="E6" s="243"/>
      <c r="F6" s="243"/>
      <c r="G6" s="243"/>
      <c r="H6" s="243"/>
      <c r="I6" s="243"/>
      <c r="J6" s="243"/>
      <c r="K6" s="243"/>
      <c r="L6" s="243"/>
      <c r="M6" s="243"/>
      <c r="N6" s="131"/>
    </row>
    <row r="7" spans="1:34" ht="27.75" customHeight="1" x14ac:dyDescent="0.3">
      <c r="B7" s="247" t="s">
        <v>228</v>
      </c>
      <c r="C7" s="248"/>
      <c r="D7" s="248"/>
      <c r="E7" s="248"/>
      <c r="F7" s="248"/>
      <c r="G7" s="248"/>
      <c r="H7" s="248"/>
      <c r="I7" s="248"/>
      <c r="J7" s="248"/>
      <c r="K7" s="248"/>
      <c r="L7" s="248"/>
      <c r="M7" s="248"/>
      <c r="N7" s="131"/>
    </row>
    <row r="8" spans="1:34" ht="35.4" customHeight="1" x14ac:dyDescent="0.3">
      <c r="B8" s="247" t="s">
        <v>229</v>
      </c>
      <c r="C8" s="248"/>
      <c r="D8" s="248"/>
      <c r="E8" s="248"/>
      <c r="F8" s="248"/>
      <c r="G8" s="248"/>
      <c r="H8" s="248"/>
      <c r="I8" s="248"/>
      <c r="J8" s="248"/>
      <c r="K8" s="248"/>
      <c r="L8" s="248"/>
      <c r="M8" s="248"/>
      <c r="N8" s="131"/>
    </row>
    <row r="9" spans="1:34" ht="60" customHeight="1" x14ac:dyDescent="0.3">
      <c r="B9" s="247" t="s">
        <v>230</v>
      </c>
      <c r="C9" s="248"/>
      <c r="D9" s="248"/>
      <c r="E9" s="248"/>
      <c r="F9" s="248"/>
      <c r="G9" s="248"/>
      <c r="H9" s="248"/>
      <c r="I9" s="248"/>
      <c r="J9" s="248"/>
      <c r="K9" s="248"/>
      <c r="L9" s="248"/>
      <c r="M9" s="248"/>
      <c r="N9" s="131"/>
    </row>
    <row r="10" spans="1:34" ht="78" customHeight="1" x14ac:dyDescent="0.3">
      <c r="B10" s="247" t="s">
        <v>231</v>
      </c>
      <c r="C10" s="248"/>
      <c r="D10" s="248"/>
      <c r="E10" s="248"/>
      <c r="F10" s="248"/>
      <c r="G10" s="248"/>
      <c r="H10" s="248"/>
      <c r="I10" s="248"/>
      <c r="J10" s="248"/>
      <c r="K10" s="248"/>
      <c r="L10" s="248"/>
      <c r="M10" s="248"/>
      <c r="N10" s="131"/>
    </row>
    <row r="11" spans="1:34" ht="37.5" customHeight="1" x14ac:dyDescent="0.3">
      <c r="B11" s="247" t="s">
        <v>232</v>
      </c>
      <c r="C11" s="248"/>
      <c r="D11" s="248"/>
      <c r="E11" s="248"/>
      <c r="F11" s="248"/>
      <c r="G11" s="248"/>
      <c r="H11" s="248"/>
      <c r="I11" s="248"/>
      <c r="J11" s="248"/>
      <c r="K11" s="248"/>
      <c r="L11" s="248"/>
      <c r="M11" s="248"/>
      <c r="N11" s="131"/>
    </row>
    <row r="12" spans="1:34" ht="15" customHeight="1" thickBot="1" x14ac:dyDescent="0.35">
      <c r="B12" s="234"/>
      <c r="C12" s="235"/>
      <c r="D12" s="235"/>
      <c r="E12" s="235"/>
      <c r="F12" s="235"/>
      <c r="G12" s="235"/>
      <c r="H12" s="235"/>
      <c r="I12" s="235"/>
      <c r="J12" s="235"/>
      <c r="K12" s="235"/>
      <c r="L12" s="235"/>
      <c r="M12" s="235"/>
      <c r="N12" s="158"/>
    </row>
    <row r="13" spans="1:34" ht="15" thickTop="1" x14ac:dyDescent="0.3">
      <c r="B13" s="33"/>
      <c r="C13" s="33"/>
      <c r="D13" s="33"/>
      <c r="E13" s="33"/>
      <c r="F13" s="33"/>
      <c r="G13" s="33"/>
      <c r="H13" s="33"/>
      <c r="I13" s="33"/>
      <c r="J13" s="33"/>
      <c r="K13" s="33"/>
      <c r="L13" s="33"/>
      <c r="M13" s="33"/>
    </row>
    <row r="14" spans="1:34" x14ac:dyDescent="0.3">
      <c r="B14" s="33"/>
      <c r="C14" s="33"/>
      <c r="D14" s="33"/>
      <c r="E14" s="33"/>
      <c r="F14" s="33"/>
      <c r="G14" s="33"/>
      <c r="H14" s="33"/>
      <c r="I14" s="33"/>
      <c r="J14" s="33"/>
      <c r="K14" s="33"/>
      <c r="L14" s="33"/>
      <c r="M14" s="33"/>
    </row>
    <row r="15" spans="1:34" x14ac:dyDescent="0.3">
      <c r="B15" s="33"/>
      <c r="C15" s="33"/>
      <c r="D15" s="33"/>
      <c r="E15" s="33"/>
      <c r="F15" s="33"/>
      <c r="G15" s="33"/>
      <c r="H15" s="33"/>
      <c r="I15" s="33"/>
      <c r="J15" s="33"/>
      <c r="K15" s="33"/>
      <c r="L15" s="33"/>
      <c r="M15" s="33"/>
    </row>
    <row r="16" spans="1:34" x14ac:dyDescent="0.3">
      <c r="B16" s="33"/>
      <c r="C16" s="33"/>
      <c r="D16" s="33"/>
      <c r="E16" s="33"/>
      <c r="F16" s="33"/>
      <c r="G16" s="33"/>
      <c r="H16" s="33"/>
      <c r="I16" s="33"/>
      <c r="J16" s="33"/>
      <c r="K16" s="33"/>
      <c r="L16" s="33"/>
      <c r="M16" s="33"/>
    </row>
    <row r="17" spans="2:13" x14ac:dyDescent="0.3">
      <c r="B17" s="33"/>
      <c r="C17" s="33"/>
      <c r="D17" s="33"/>
      <c r="E17" s="33"/>
      <c r="F17" s="33"/>
      <c r="G17" s="33"/>
      <c r="H17" s="33"/>
      <c r="I17" s="33"/>
      <c r="J17" s="33"/>
      <c r="K17" s="33"/>
      <c r="L17" s="33"/>
      <c r="M17" s="33"/>
    </row>
    <row r="18" spans="2:13" x14ac:dyDescent="0.3">
      <c r="B18" s="33"/>
      <c r="C18" s="33"/>
      <c r="D18" s="33"/>
      <c r="E18" s="33"/>
      <c r="F18" s="33"/>
      <c r="G18" s="33"/>
      <c r="H18" s="33"/>
      <c r="I18" s="33"/>
      <c r="J18" s="33"/>
      <c r="K18" s="33"/>
      <c r="L18" s="33"/>
      <c r="M18" s="33"/>
    </row>
    <row r="19" spans="2:13" x14ac:dyDescent="0.3">
      <c r="B19" s="33"/>
      <c r="C19" s="33"/>
      <c r="D19" s="33"/>
      <c r="E19" s="33"/>
      <c r="F19" s="33"/>
      <c r="G19" s="33"/>
      <c r="H19" s="33"/>
      <c r="I19" s="33"/>
      <c r="J19" s="33"/>
      <c r="K19" s="33"/>
      <c r="L19" s="33"/>
      <c r="M19" s="33"/>
    </row>
    <row r="20" spans="2:13" x14ac:dyDescent="0.3">
      <c r="B20" s="33"/>
      <c r="C20" s="33"/>
      <c r="D20" s="33"/>
      <c r="E20" s="33"/>
      <c r="F20" s="33"/>
      <c r="G20" s="33"/>
      <c r="H20" s="33"/>
      <c r="I20" s="33"/>
      <c r="J20" s="33"/>
      <c r="K20" s="33"/>
      <c r="L20" s="33"/>
      <c r="M20" s="33"/>
    </row>
    <row r="21" spans="2:13" x14ac:dyDescent="0.3">
      <c r="B21" s="33"/>
      <c r="C21" s="33"/>
      <c r="D21" s="33"/>
      <c r="E21" s="33"/>
      <c r="F21" s="33"/>
      <c r="G21" s="33"/>
      <c r="H21" s="33"/>
      <c r="I21" s="33"/>
      <c r="J21" s="33"/>
      <c r="K21" s="33"/>
      <c r="L21" s="33"/>
      <c r="M21" s="33"/>
    </row>
    <row r="22" spans="2:13" x14ac:dyDescent="0.3">
      <c r="B22" s="33"/>
      <c r="C22" s="33"/>
      <c r="D22" s="33"/>
      <c r="E22" s="33"/>
      <c r="F22" s="33"/>
      <c r="G22" s="33"/>
      <c r="H22" s="33"/>
      <c r="I22" s="33"/>
      <c r="J22" s="33"/>
      <c r="K22" s="33"/>
      <c r="L22" s="33"/>
      <c r="M22" s="33"/>
    </row>
    <row r="23" spans="2:13" x14ac:dyDescent="0.3">
      <c r="B23" s="33"/>
      <c r="C23" s="33"/>
      <c r="D23" s="33"/>
      <c r="E23" s="33"/>
      <c r="F23" s="33"/>
      <c r="G23" s="33"/>
      <c r="H23" s="33"/>
      <c r="I23" s="33"/>
      <c r="J23" s="33"/>
      <c r="K23" s="33"/>
      <c r="L23" s="33"/>
      <c r="M23" s="33"/>
    </row>
    <row r="24" spans="2:13" x14ac:dyDescent="0.3">
      <c r="B24" s="33"/>
      <c r="C24" s="33"/>
      <c r="D24" s="33"/>
      <c r="E24" s="33"/>
      <c r="F24" s="33"/>
      <c r="G24" s="33"/>
      <c r="H24" s="33"/>
      <c r="I24" s="33"/>
      <c r="J24" s="33"/>
      <c r="K24" s="33"/>
      <c r="L24" s="33"/>
      <c r="M24" s="33"/>
    </row>
    <row r="25" spans="2:13" x14ac:dyDescent="0.3">
      <c r="B25" s="33"/>
      <c r="C25" s="33"/>
      <c r="D25" s="33"/>
      <c r="E25" s="33"/>
      <c r="F25" s="33"/>
      <c r="G25" s="33"/>
      <c r="H25" s="33"/>
      <c r="I25" s="33"/>
      <c r="J25" s="33"/>
      <c r="K25" s="33"/>
      <c r="L25" s="33"/>
      <c r="M25" s="33"/>
    </row>
    <row r="26" spans="2:13" x14ac:dyDescent="0.3">
      <c r="B26" s="33"/>
      <c r="C26" s="33"/>
      <c r="D26" s="33"/>
      <c r="E26" s="33"/>
      <c r="F26" s="33"/>
      <c r="G26" s="33"/>
      <c r="H26" s="33"/>
      <c r="I26" s="33"/>
      <c r="J26" s="33"/>
      <c r="K26" s="33"/>
      <c r="L26" s="33"/>
      <c r="M26" s="33"/>
    </row>
    <row r="27" spans="2:13" x14ac:dyDescent="0.3">
      <c r="B27" s="33"/>
      <c r="C27" s="33"/>
      <c r="D27" s="33"/>
      <c r="E27" s="33"/>
      <c r="F27" s="33"/>
      <c r="G27" s="33"/>
      <c r="H27" s="33"/>
      <c r="I27" s="33"/>
      <c r="J27" s="33"/>
      <c r="K27" s="33"/>
      <c r="L27" s="33"/>
      <c r="M27" s="33"/>
    </row>
    <row r="28" spans="2:13" x14ac:dyDescent="0.3">
      <c r="B28" s="33"/>
      <c r="C28" s="33"/>
      <c r="D28" s="33"/>
      <c r="E28" s="33"/>
      <c r="F28" s="33"/>
      <c r="G28" s="33"/>
      <c r="H28" s="33"/>
      <c r="I28" s="33"/>
      <c r="J28" s="33"/>
      <c r="K28" s="33"/>
      <c r="L28" s="33"/>
      <c r="M28" s="33"/>
    </row>
    <row r="29" spans="2:13" x14ac:dyDescent="0.3">
      <c r="B29" s="33"/>
      <c r="C29" s="33"/>
      <c r="D29" s="33"/>
      <c r="E29" s="33"/>
      <c r="F29" s="33"/>
      <c r="G29" s="33"/>
      <c r="H29" s="33"/>
      <c r="I29" s="33"/>
      <c r="J29" s="33"/>
      <c r="K29" s="33"/>
      <c r="L29" s="33"/>
      <c r="M29" s="33"/>
    </row>
    <row r="30" spans="2:13" x14ac:dyDescent="0.3">
      <c r="B30" s="33"/>
      <c r="C30" s="33"/>
      <c r="D30" s="33"/>
      <c r="E30" s="33"/>
      <c r="F30" s="33"/>
      <c r="G30" s="33"/>
      <c r="H30" s="33"/>
      <c r="I30" s="33"/>
      <c r="J30" s="33"/>
      <c r="K30" s="33"/>
      <c r="L30" s="33"/>
      <c r="M30" s="33"/>
    </row>
    <row r="31" spans="2:13" x14ac:dyDescent="0.3">
      <c r="B31" s="33"/>
      <c r="C31" s="33"/>
      <c r="D31" s="33"/>
      <c r="E31" s="33"/>
      <c r="F31" s="33"/>
      <c r="G31" s="33"/>
      <c r="H31" s="33"/>
      <c r="I31" s="33"/>
      <c r="J31" s="33"/>
      <c r="K31" s="33"/>
      <c r="L31" s="33"/>
      <c r="M31" s="33"/>
    </row>
    <row r="32" spans="2:13" x14ac:dyDescent="0.3">
      <c r="B32" s="33"/>
      <c r="C32" s="33"/>
      <c r="D32" s="33"/>
      <c r="E32" s="33"/>
      <c r="F32" s="33"/>
      <c r="G32" s="33"/>
      <c r="H32" s="33"/>
      <c r="I32" s="33"/>
      <c r="J32" s="33"/>
      <c r="K32" s="33"/>
      <c r="L32" s="33"/>
      <c r="M32" s="33"/>
    </row>
    <row r="33" spans="2:13" x14ac:dyDescent="0.3">
      <c r="B33" s="33"/>
      <c r="C33" s="33"/>
      <c r="D33" s="33"/>
      <c r="E33" s="33"/>
      <c r="F33" s="33"/>
      <c r="G33" s="33"/>
      <c r="H33" s="33"/>
      <c r="I33" s="33"/>
      <c r="J33" s="33"/>
      <c r="K33" s="33"/>
      <c r="L33" s="33"/>
      <c r="M33" s="33"/>
    </row>
    <row r="34" spans="2:13" x14ac:dyDescent="0.3">
      <c r="B34" s="33"/>
      <c r="C34" s="33"/>
      <c r="D34" s="33"/>
      <c r="E34" s="33"/>
      <c r="F34" s="33"/>
      <c r="G34" s="33"/>
      <c r="H34" s="33"/>
      <c r="I34" s="33"/>
      <c r="J34" s="33"/>
      <c r="K34" s="33"/>
      <c r="L34" s="33"/>
      <c r="M34" s="33"/>
    </row>
    <row r="35" spans="2:13" x14ac:dyDescent="0.3">
      <c r="B35" s="33"/>
      <c r="C35" s="33"/>
      <c r="D35" s="33"/>
      <c r="E35" s="33"/>
      <c r="F35" s="33"/>
      <c r="G35" s="33"/>
      <c r="H35" s="33"/>
      <c r="I35" s="33"/>
      <c r="J35" s="33"/>
      <c r="K35" s="33"/>
      <c r="L35" s="33"/>
      <c r="M35" s="33"/>
    </row>
    <row r="36" spans="2:13" x14ac:dyDescent="0.3">
      <c r="B36" s="33"/>
      <c r="C36" s="33"/>
      <c r="D36" s="33"/>
      <c r="E36" s="33"/>
      <c r="F36" s="33"/>
      <c r="G36" s="33"/>
      <c r="H36" s="33"/>
      <c r="I36" s="33"/>
      <c r="J36" s="33"/>
      <c r="K36" s="33"/>
      <c r="L36" s="33"/>
      <c r="M36" s="33"/>
    </row>
    <row r="37" spans="2:13" x14ac:dyDescent="0.3">
      <c r="B37" s="33"/>
      <c r="C37" s="33"/>
      <c r="D37" s="33"/>
      <c r="E37" s="33"/>
      <c r="F37" s="33"/>
      <c r="G37" s="33"/>
      <c r="H37" s="33"/>
      <c r="I37" s="33"/>
      <c r="J37" s="33"/>
      <c r="K37" s="33"/>
      <c r="L37" s="33"/>
      <c r="M37" s="33"/>
    </row>
    <row r="38" spans="2:13" x14ac:dyDescent="0.3">
      <c r="B38" s="33"/>
      <c r="C38" s="33"/>
      <c r="D38" s="33"/>
      <c r="E38" s="33"/>
      <c r="F38" s="33"/>
      <c r="G38" s="33"/>
      <c r="H38" s="33"/>
      <c r="I38" s="33"/>
      <c r="J38" s="33"/>
      <c r="K38" s="33"/>
      <c r="L38" s="33"/>
      <c r="M38" s="33"/>
    </row>
    <row r="39" spans="2:13" x14ac:dyDescent="0.3">
      <c r="B39" s="33"/>
      <c r="C39" s="33"/>
      <c r="D39" s="33"/>
      <c r="E39" s="33"/>
      <c r="F39" s="33"/>
      <c r="G39" s="33"/>
      <c r="H39" s="33"/>
      <c r="I39" s="33"/>
      <c r="J39" s="33"/>
      <c r="K39" s="33"/>
      <c r="L39" s="33"/>
      <c r="M39" s="33"/>
    </row>
    <row r="40" spans="2:13" x14ac:dyDescent="0.3">
      <c r="B40" s="33"/>
      <c r="C40" s="33"/>
      <c r="D40" s="33"/>
      <c r="E40" s="33"/>
      <c r="F40" s="33"/>
      <c r="G40" s="33"/>
      <c r="H40" s="33"/>
      <c r="I40" s="33"/>
      <c r="J40" s="33"/>
      <c r="K40" s="33"/>
      <c r="L40" s="33"/>
      <c r="M40" s="33"/>
    </row>
    <row r="41" spans="2:13" x14ac:dyDescent="0.3">
      <c r="B41" s="33"/>
      <c r="C41" s="33"/>
      <c r="D41" s="33"/>
      <c r="E41" s="33"/>
      <c r="F41" s="33"/>
      <c r="G41" s="33"/>
      <c r="H41" s="33"/>
      <c r="I41" s="33"/>
      <c r="J41" s="33"/>
      <c r="K41" s="33"/>
      <c r="L41" s="33"/>
      <c r="M41" s="33"/>
    </row>
    <row r="42" spans="2:13" x14ac:dyDescent="0.3">
      <c r="B42" s="33"/>
      <c r="C42" s="33"/>
      <c r="D42" s="33"/>
      <c r="E42" s="33"/>
      <c r="F42" s="33"/>
      <c r="G42" s="33"/>
      <c r="H42" s="33"/>
      <c r="I42" s="33"/>
      <c r="J42" s="33"/>
      <c r="K42" s="33"/>
      <c r="L42" s="33"/>
      <c r="M42" s="33"/>
    </row>
    <row r="43" spans="2:13" x14ac:dyDescent="0.3">
      <c r="B43" s="33"/>
      <c r="C43" s="33"/>
      <c r="D43" s="33"/>
      <c r="E43" s="33"/>
      <c r="F43" s="33"/>
      <c r="G43" s="33"/>
      <c r="H43" s="33"/>
      <c r="I43" s="33"/>
      <c r="J43" s="33"/>
      <c r="K43" s="33"/>
      <c r="L43" s="33"/>
      <c r="M43" s="33"/>
    </row>
    <row r="44" spans="2:13" x14ac:dyDescent="0.3">
      <c r="B44" s="33"/>
      <c r="C44" s="33"/>
      <c r="D44" s="33"/>
      <c r="E44" s="33"/>
      <c r="F44" s="33"/>
      <c r="G44" s="33"/>
      <c r="H44" s="33"/>
      <c r="I44" s="33"/>
      <c r="J44" s="33"/>
      <c r="K44" s="33"/>
      <c r="L44" s="33"/>
      <c r="M44" s="33"/>
    </row>
    <row r="45" spans="2:13" x14ac:dyDescent="0.3">
      <c r="B45" s="33"/>
      <c r="C45" s="33"/>
      <c r="D45" s="33"/>
      <c r="E45" s="33"/>
      <c r="F45" s="33"/>
      <c r="G45" s="33"/>
      <c r="H45" s="33"/>
      <c r="I45" s="33"/>
      <c r="J45" s="33"/>
      <c r="K45" s="33"/>
      <c r="L45" s="33"/>
      <c r="M45" s="33"/>
    </row>
    <row r="46" spans="2:13" x14ac:dyDescent="0.3">
      <c r="B46" s="33"/>
      <c r="C46" s="33"/>
      <c r="D46" s="33"/>
      <c r="E46" s="33"/>
      <c r="F46" s="33"/>
      <c r="G46" s="33"/>
      <c r="H46" s="33"/>
      <c r="I46" s="33"/>
      <c r="J46" s="33"/>
      <c r="K46" s="33"/>
      <c r="L46" s="33"/>
      <c r="M46" s="33"/>
    </row>
    <row r="47" spans="2:13" x14ac:dyDescent="0.3">
      <c r="B47" s="33"/>
      <c r="C47" s="33"/>
      <c r="D47" s="33"/>
      <c r="E47" s="33"/>
      <c r="F47" s="33"/>
      <c r="G47" s="33"/>
      <c r="H47" s="33"/>
      <c r="I47" s="33"/>
      <c r="J47" s="33"/>
      <c r="K47" s="33"/>
      <c r="L47" s="33"/>
      <c r="M47" s="33"/>
    </row>
    <row r="48" spans="2:13" x14ac:dyDescent="0.3">
      <c r="B48" s="33"/>
      <c r="C48" s="33"/>
      <c r="D48" s="33"/>
      <c r="E48" s="33"/>
      <c r="F48" s="33"/>
      <c r="G48" s="33"/>
      <c r="H48" s="33"/>
      <c r="I48" s="33"/>
      <c r="J48" s="33"/>
      <c r="K48" s="33"/>
      <c r="L48" s="33"/>
      <c r="M48" s="33"/>
    </row>
    <row r="49" spans="2:13" x14ac:dyDescent="0.3">
      <c r="B49" s="33"/>
      <c r="C49" s="33"/>
      <c r="D49" s="33"/>
      <c r="E49" s="33"/>
      <c r="F49" s="33"/>
      <c r="G49" s="33"/>
      <c r="H49" s="33"/>
      <c r="I49" s="33"/>
      <c r="J49" s="33"/>
      <c r="K49" s="33"/>
      <c r="L49" s="33"/>
      <c r="M49" s="33"/>
    </row>
    <row r="50" spans="2:13" x14ac:dyDescent="0.3">
      <c r="B50" s="33"/>
      <c r="C50" s="33"/>
      <c r="D50" s="33"/>
      <c r="E50" s="33"/>
      <c r="F50" s="33"/>
      <c r="G50" s="33"/>
      <c r="H50" s="33"/>
      <c r="I50" s="33"/>
      <c r="J50" s="33"/>
      <c r="K50" s="33"/>
      <c r="L50" s="33"/>
      <c r="M50" s="33"/>
    </row>
    <row r="51" spans="2:13" x14ac:dyDescent="0.3">
      <c r="B51" s="33"/>
      <c r="C51" s="33"/>
      <c r="D51" s="33"/>
      <c r="E51" s="33"/>
      <c r="F51" s="33"/>
      <c r="G51" s="33"/>
      <c r="H51" s="33"/>
      <c r="I51" s="33"/>
      <c r="J51" s="33"/>
      <c r="K51" s="33"/>
      <c r="L51" s="33"/>
      <c r="M51" s="33"/>
    </row>
    <row r="52" spans="2:13" x14ac:dyDescent="0.3">
      <c r="B52" s="33"/>
      <c r="C52" s="33"/>
      <c r="D52" s="33"/>
      <c r="E52" s="33"/>
      <c r="F52" s="33"/>
      <c r="G52" s="33"/>
      <c r="H52" s="33"/>
      <c r="I52" s="33"/>
      <c r="J52" s="33"/>
      <c r="K52" s="33"/>
      <c r="L52" s="33"/>
      <c r="M52" s="33"/>
    </row>
    <row r="53" spans="2:13" x14ac:dyDescent="0.3">
      <c r="B53" s="33"/>
      <c r="C53" s="33"/>
      <c r="D53" s="33"/>
      <c r="E53" s="33"/>
      <c r="F53" s="33"/>
      <c r="G53" s="33"/>
      <c r="H53" s="33"/>
      <c r="I53" s="33"/>
      <c r="J53" s="33"/>
      <c r="K53" s="33"/>
      <c r="L53" s="33"/>
      <c r="M53" s="33"/>
    </row>
    <row r="54" spans="2:13" x14ac:dyDescent="0.3">
      <c r="B54" s="33"/>
      <c r="C54" s="33"/>
      <c r="D54" s="33"/>
      <c r="E54" s="33"/>
      <c r="F54" s="33"/>
      <c r="G54" s="33"/>
      <c r="H54" s="33"/>
      <c r="I54" s="33"/>
      <c r="J54" s="33"/>
      <c r="K54" s="33"/>
      <c r="L54" s="33"/>
      <c r="M54" s="33"/>
    </row>
    <row r="55" spans="2:13" x14ac:dyDescent="0.3">
      <c r="B55" s="33"/>
      <c r="C55" s="33"/>
      <c r="D55" s="33"/>
      <c r="E55" s="33"/>
      <c r="F55" s="33"/>
      <c r="G55" s="33"/>
      <c r="H55" s="33"/>
      <c r="I55" s="33"/>
      <c r="J55" s="33"/>
      <c r="K55" s="33"/>
      <c r="L55" s="33"/>
      <c r="M55" s="33"/>
    </row>
    <row r="56" spans="2:13" x14ac:dyDescent="0.3">
      <c r="B56" s="33"/>
      <c r="C56" s="33"/>
      <c r="D56" s="33"/>
      <c r="E56" s="33"/>
      <c r="F56" s="33"/>
      <c r="G56" s="33"/>
      <c r="H56" s="33"/>
      <c r="I56" s="33"/>
      <c r="J56" s="33"/>
      <c r="K56" s="33"/>
      <c r="L56" s="33"/>
      <c r="M56" s="33"/>
    </row>
    <row r="57" spans="2:13" x14ac:dyDescent="0.3">
      <c r="B57" s="33"/>
      <c r="C57" s="33"/>
      <c r="D57" s="33"/>
      <c r="E57" s="33"/>
      <c r="F57" s="33"/>
      <c r="G57" s="33"/>
      <c r="H57" s="33"/>
      <c r="I57" s="33"/>
      <c r="J57" s="33"/>
      <c r="K57" s="33"/>
      <c r="L57" s="33"/>
      <c r="M57" s="33"/>
    </row>
    <row r="58" spans="2:13" x14ac:dyDescent="0.3">
      <c r="B58" s="33"/>
      <c r="C58" s="33"/>
      <c r="D58" s="33"/>
      <c r="E58" s="33"/>
      <c r="F58" s="33"/>
      <c r="G58" s="33"/>
      <c r="H58" s="33"/>
      <c r="I58" s="33"/>
      <c r="J58" s="33"/>
      <c r="K58" s="33"/>
      <c r="L58" s="33"/>
      <c r="M58" s="33"/>
    </row>
    <row r="59" spans="2:13" x14ac:dyDescent="0.3">
      <c r="B59" s="33"/>
      <c r="C59" s="33"/>
      <c r="D59" s="33"/>
      <c r="E59" s="33"/>
      <c r="F59" s="33"/>
      <c r="G59" s="33"/>
      <c r="H59" s="33"/>
      <c r="I59" s="33"/>
      <c r="J59" s="33"/>
      <c r="K59" s="33"/>
      <c r="L59" s="33"/>
      <c r="M59" s="33"/>
    </row>
    <row r="60" spans="2:13" x14ac:dyDescent="0.3">
      <c r="B60" s="33"/>
      <c r="C60" s="33"/>
      <c r="D60" s="33"/>
      <c r="E60" s="33"/>
      <c r="F60" s="33"/>
      <c r="G60" s="33"/>
      <c r="H60" s="33"/>
      <c r="I60" s="33"/>
      <c r="J60" s="33"/>
      <c r="K60" s="33"/>
      <c r="L60" s="33"/>
      <c r="M60" s="33"/>
    </row>
    <row r="61" spans="2:13" x14ac:dyDescent="0.3">
      <c r="B61" s="33"/>
      <c r="C61" s="33"/>
      <c r="D61" s="33"/>
      <c r="E61" s="33"/>
      <c r="F61" s="33"/>
      <c r="G61" s="33"/>
      <c r="H61" s="33"/>
      <c r="I61" s="33"/>
      <c r="J61" s="33"/>
      <c r="K61" s="33"/>
      <c r="L61" s="33"/>
      <c r="M61" s="33"/>
    </row>
    <row r="62" spans="2:13" x14ac:dyDescent="0.3">
      <c r="B62" s="33"/>
      <c r="C62" s="33"/>
      <c r="D62" s="33"/>
      <c r="E62" s="33"/>
      <c r="F62" s="33"/>
      <c r="G62" s="33"/>
      <c r="H62" s="33"/>
      <c r="I62" s="33"/>
      <c r="J62" s="33"/>
      <c r="K62" s="33"/>
      <c r="L62" s="33"/>
      <c r="M62" s="33"/>
    </row>
    <row r="63" spans="2:13" x14ac:dyDescent="0.3">
      <c r="B63" s="33"/>
      <c r="C63" s="33"/>
      <c r="D63" s="33"/>
      <c r="E63" s="33"/>
      <c r="F63" s="33"/>
      <c r="G63" s="33"/>
      <c r="H63" s="33"/>
      <c r="I63" s="33"/>
      <c r="J63" s="33"/>
      <c r="K63" s="33"/>
      <c r="L63" s="33"/>
      <c r="M63" s="33"/>
    </row>
    <row r="64" spans="2:13" x14ac:dyDescent="0.3">
      <c r="B64" s="33"/>
      <c r="C64" s="33"/>
      <c r="D64" s="33"/>
      <c r="E64" s="33"/>
      <c r="F64" s="33"/>
      <c r="G64" s="33"/>
      <c r="H64" s="33"/>
      <c r="I64" s="33"/>
      <c r="J64" s="33"/>
      <c r="K64" s="33"/>
      <c r="L64" s="33"/>
      <c r="M64" s="33"/>
    </row>
    <row r="65" spans="2:13" x14ac:dyDescent="0.3">
      <c r="B65" s="33"/>
      <c r="C65" s="33"/>
      <c r="D65" s="33"/>
      <c r="E65" s="33"/>
      <c r="F65" s="33"/>
      <c r="G65" s="33"/>
      <c r="H65" s="33"/>
      <c r="I65" s="33"/>
      <c r="J65" s="33"/>
      <c r="K65" s="33"/>
      <c r="L65" s="33"/>
      <c r="M65" s="33"/>
    </row>
    <row r="66" spans="2:13" x14ac:dyDescent="0.3">
      <c r="B66" s="33"/>
      <c r="C66" s="33"/>
      <c r="D66" s="33"/>
      <c r="E66" s="33"/>
      <c r="F66" s="33"/>
      <c r="G66" s="33"/>
      <c r="H66" s="33"/>
      <c r="I66" s="33"/>
      <c r="J66" s="33"/>
      <c r="K66" s="33"/>
      <c r="L66" s="33"/>
      <c r="M66" s="33"/>
    </row>
    <row r="67" spans="2:13" x14ac:dyDescent="0.3">
      <c r="B67" s="33"/>
      <c r="C67" s="33"/>
      <c r="D67" s="33"/>
      <c r="E67" s="33"/>
      <c r="F67" s="33"/>
      <c r="G67" s="33"/>
      <c r="H67" s="33"/>
      <c r="I67" s="33"/>
      <c r="J67" s="33"/>
      <c r="K67" s="33"/>
      <c r="L67" s="33"/>
      <c r="M67" s="33"/>
    </row>
    <row r="68" spans="2:13" x14ac:dyDescent="0.3">
      <c r="B68" s="33"/>
      <c r="C68" s="33"/>
      <c r="D68" s="33"/>
      <c r="E68" s="33"/>
      <c r="F68" s="33"/>
      <c r="G68" s="33"/>
      <c r="H68" s="33"/>
      <c r="I68" s="33"/>
      <c r="J68" s="33"/>
      <c r="K68" s="33"/>
      <c r="L68" s="33"/>
      <c r="M68" s="33"/>
    </row>
    <row r="69" spans="2:13" x14ac:dyDescent="0.3">
      <c r="B69" s="33"/>
      <c r="C69" s="33"/>
      <c r="D69" s="33"/>
      <c r="E69" s="33"/>
      <c r="F69" s="33"/>
      <c r="G69" s="33"/>
      <c r="H69" s="33"/>
      <c r="I69" s="33"/>
      <c r="J69" s="33"/>
      <c r="K69" s="33"/>
      <c r="L69" s="33"/>
      <c r="M69" s="33"/>
    </row>
    <row r="70" spans="2:13" x14ac:dyDescent="0.3">
      <c r="B70" s="33"/>
      <c r="C70" s="33"/>
      <c r="D70" s="33"/>
      <c r="E70" s="33"/>
      <c r="F70" s="33"/>
      <c r="G70" s="33"/>
      <c r="H70" s="33"/>
      <c r="I70" s="33"/>
      <c r="J70" s="33"/>
      <c r="K70" s="33"/>
      <c r="L70" s="33"/>
      <c r="M70" s="33"/>
    </row>
    <row r="71" spans="2:13" x14ac:dyDescent="0.3">
      <c r="B71" s="33"/>
      <c r="C71" s="33"/>
      <c r="D71" s="33"/>
      <c r="E71" s="33"/>
      <c r="F71" s="33"/>
      <c r="G71" s="33"/>
      <c r="H71" s="33"/>
      <c r="I71" s="33"/>
      <c r="J71" s="33"/>
      <c r="K71" s="33"/>
      <c r="L71" s="33"/>
      <c r="M71" s="33"/>
    </row>
    <row r="72" spans="2:13" x14ac:dyDescent="0.3">
      <c r="B72" s="33"/>
      <c r="C72" s="33"/>
      <c r="D72" s="33"/>
      <c r="E72" s="33"/>
      <c r="F72" s="33"/>
      <c r="G72" s="33"/>
      <c r="H72" s="33"/>
      <c r="I72" s="33"/>
      <c r="J72" s="33"/>
      <c r="K72" s="33"/>
      <c r="L72" s="33"/>
      <c r="M72" s="33"/>
    </row>
    <row r="73" spans="2:13" x14ac:dyDescent="0.3">
      <c r="B73" s="33"/>
      <c r="C73" s="33"/>
      <c r="D73" s="33"/>
      <c r="E73" s="33"/>
      <c r="F73" s="33"/>
      <c r="G73" s="33"/>
      <c r="H73" s="33"/>
      <c r="I73" s="33"/>
      <c r="J73" s="33"/>
      <c r="K73" s="33"/>
      <c r="L73" s="33"/>
      <c r="M73" s="33"/>
    </row>
    <row r="74" spans="2:13" x14ac:dyDescent="0.3">
      <c r="B74" s="33"/>
      <c r="C74" s="33"/>
      <c r="D74" s="33"/>
      <c r="E74" s="33"/>
      <c r="F74" s="33"/>
      <c r="G74" s="33"/>
      <c r="H74" s="33"/>
      <c r="I74" s="33"/>
      <c r="J74" s="33"/>
      <c r="K74" s="33"/>
      <c r="L74" s="33"/>
      <c r="M74" s="33"/>
    </row>
    <row r="75" spans="2:13" x14ac:dyDescent="0.3">
      <c r="B75" s="33"/>
      <c r="C75" s="33"/>
      <c r="D75" s="33"/>
      <c r="E75" s="33"/>
      <c r="F75" s="33"/>
      <c r="G75" s="33"/>
      <c r="H75" s="33"/>
      <c r="I75" s="33"/>
      <c r="J75" s="33"/>
      <c r="K75" s="33"/>
      <c r="L75" s="33"/>
      <c r="M75" s="33"/>
    </row>
    <row r="76" spans="2:13" x14ac:dyDescent="0.3">
      <c r="B76" s="33"/>
      <c r="C76" s="33"/>
      <c r="D76" s="33"/>
      <c r="E76" s="33"/>
      <c r="F76" s="33"/>
      <c r="G76" s="33"/>
      <c r="H76" s="33"/>
      <c r="I76" s="33"/>
      <c r="J76" s="33"/>
      <c r="K76" s="33"/>
      <c r="L76" s="33"/>
      <c r="M76" s="33"/>
    </row>
    <row r="77" spans="2:13" x14ac:dyDescent="0.3">
      <c r="B77" s="33"/>
      <c r="C77" s="33"/>
      <c r="D77" s="33"/>
      <c r="E77" s="33"/>
      <c r="F77" s="33"/>
      <c r="G77" s="33"/>
      <c r="H77" s="33"/>
      <c r="I77" s="33"/>
      <c r="J77" s="33"/>
      <c r="K77" s="33"/>
      <c r="L77" s="33"/>
      <c r="M77" s="33"/>
    </row>
    <row r="78" spans="2:13" x14ac:dyDescent="0.3">
      <c r="B78" s="33"/>
      <c r="C78" s="33"/>
      <c r="D78" s="33"/>
      <c r="E78" s="33"/>
      <c r="F78" s="33"/>
      <c r="G78" s="33"/>
      <c r="H78" s="33"/>
      <c r="I78" s="33"/>
      <c r="J78" s="33"/>
      <c r="K78" s="33"/>
      <c r="L78" s="33"/>
      <c r="M78" s="33"/>
    </row>
    <row r="79" spans="2:13" x14ac:dyDescent="0.3">
      <c r="B79" s="33"/>
      <c r="C79" s="33"/>
      <c r="D79" s="33"/>
      <c r="E79" s="33"/>
      <c r="F79" s="33"/>
      <c r="G79" s="33"/>
      <c r="H79" s="33"/>
      <c r="I79" s="33"/>
      <c r="J79" s="33"/>
      <c r="K79" s="33"/>
      <c r="L79" s="33"/>
      <c r="M79" s="33"/>
    </row>
    <row r="80" spans="2:13" x14ac:dyDescent="0.3">
      <c r="B80" s="33"/>
      <c r="C80" s="33"/>
      <c r="D80" s="33"/>
      <c r="E80" s="33"/>
      <c r="F80" s="33"/>
      <c r="G80" s="33"/>
      <c r="H80" s="33"/>
      <c r="I80" s="33"/>
      <c r="J80" s="33"/>
      <c r="K80" s="33"/>
      <c r="L80" s="33"/>
      <c r="M80" s="33"/>
    </row>
    <row r="81" spans="2:13" x14ac:dyDescent="0.3">
      <c r="B81" s="33"/>
      <c r="C81" s="33"/>
      <c r="D81" s="33"/>
      <c r="E81" s="33"/>
      <c r="F81" s="33"/>
      <c r="G81" s="33"/>
      <c r="H81" s="33"/>
      <c r="I81" s="33"/>
      <c r="J81" s="33"/>
      <c r="K81" s="33"/>
      <c r="L81" s="33"/>
      <c r="M81" s="33"/>
    </row>
    <row r="82" spans="2:13" x14ac:dyDescent="0.3">
      <c r="B82" s="33"/>
      <c r="C82" s="33"/>
      <c r="D82" s="33"/>
      <c r="E82" s="33"/>
      <c r="F82" s="33"/>
      <c r="G82" s="33"/>
      <c r="H82" s="33"/>
      <c r="I82" s="33"/>
      <c r="J82" s="33"/>
      <c r="K82" s="33"/>
      <c r="L82" s="33"/>
      <c r="M82" s="33"/>
    </row>
    <row r="83" spans="2:13" x14ac:dyDescent="0.3">
      <c r="B83" s="33"/>
      <c r="C83" s="33"/>
      <c r="D83" s="33"/>
      <c r="E83" s="33"/>
      <c r="F83" s="33"/>
      <c r="G83" s="33"/>
      <c r="H83" s="33"/>
      <c r="I83" s="33"/>
      <c r="J83" s="33"/>
      <c r="K83" s="33"/>
      <c r="L83" s="33"/>
      <c r="M83" s="33"/>
    </row>
    <row r="84" spans="2:13" x14ac:dyDescent="0.3">
      <c r="B84" s="33"/>
      <c r="C84" s="33"/>
      <c r="D84" s="33"/>
      <c r="E84" s="33"/>
      <c r="F84" s="33"/>
      <c r="G84" s="33"/>
      <c r="H84" s="33"/>
      <c r="I84" s="33"/>
      <c r="J84" s="33"/>
      <c r="K84" s="33"/>
      <c r="L84" s="33"/>
      <c r="M84" s="33"/>
    </row>
    <row r="85" spans="2:13" x14ac:dyDescent="0.3">
      <c r="B85" s="33"/>
      <c r="C85" s="33"/>
      <c r="D85" s="33"/>
      <c r="E85" s="33"/>
      <c r="F85" s="33"/>
      <c r="G85" s="33"/>
      <c r="H85" s="33"/>
      <c r="I85" s="33"/>
      <c r="J85" s="33"/>
      <c r="K85" s="33"/>
      <c r="L85" s="33"/>
      <c r="M85" s="33"/>
    </row>
    <row r="86" spans="2:13" x14ac:dyDescent="0.3">
      <c r="B86" s="33"/>
      <c r="C86" s="33"/>
      <c r="D86" s="33"/>
      <c r="E86" s="33"/>
      <c r="F86" s="33"/>
      <c r="G86" s="33"/>
      <c r="H86" s="33"/>
      <c r="I86" s="33"/>
      <c r="J86" s="33"/>
      <c r="K86" s="33"/>
      <c r="L86" s="33"/>
      <c r="M86" s="33"/>
    </row>
    <row r="87" spans="2:13" x14ac:dyDescent="0.3">
      <c r="B87" s="33"/>
      <c r="C87" s="33"/>
      <c r="D87" s="33"/>
      <c r="E87" s="33"/>
      <c r="F87" s="33"/>
      <c r="G87" s="33"/>
      <c r="H87" s="33"/>
      <c r="I87" s="33"/>
      <c r="J87" s="33"/>
      <c r="K87" s="33"/>
      <c r="L87" s="33"/>
      <c r="M87" s="33"/>
    </row>
    <row r="88" spans="2:13" x14ac:dyDescent="0.3">
      <c r="B88" s="33"/>
      <c r="C88" s="33"/>
      <c r="D88" s="33"/>
      <c r="E88" s="33"/>
      <c r="F88" s="33"/>
      <c r="G88" s="33"/>
      <c r="H88" s="33"/>
      <c r="I88" s="33"/>
      <c r="J88" s="33"/>
      <c r="K88" s="33"/>
      <c r="L88" s="33"/>
      <c r="M88" s="33"/>
    </row>
    <row r="89" spans="2:13" x14ac:dyDescent="0.3">
      <c r="B89" s="33"/>
      <c r="C89" s="33"/>
      <c r="D89" s="33"/>
      <c r="E89" s="33"/>
      <c r="F89" s="33"/>
      <c r="G89" s="33"/>
      <c r="H89" s="33"/>
      <c r="I89" s="33"/>
      <c r="J89" s="33"/>
      <c r="K89" s="33"/>
      <c r="L89" s="33"/>
      <c r="M89" s="33"/>
    </row>
    <row r="90" spans="2:13" x14ac:dyDescent="0.3">
      <c r="B90" s="33"/>
      <c r="C90" s="33"/>
      <c r="D90" s="33"/>
      <c r="E90" s="33"/>
      <c r="F90" s="33"/>
      <c r="G90" s="33"/>
      <c r="H90" s="33"/>
      <c r="I90" s="33"/>
      <c r="J90" s="33"/>
      <c r="K90" s="33"/>
      <c r="L90" s="33"/>
      <c r="M90" s="33"/>
    </row>
    <row r="91" spans="2:13" x14ac:dyDescent="0.3">
      <c r="B91" s="33"/>
      <c r="C91" s="33"/>
      <c r="D91" s="33"/>
      <c r="E91" s="33"/>
      <c r="F91" s="33"/>
      <c r="G91" s="33"/>
      <c r="H91" s="33"/>
      <c r="I91" s="33"/>
      <c r="J91" s="33"/>
      <c r="K91" s="33"/>
      <c r="L91" s="33"/>
      <c r="M91" s="33"/>
    </row>
    <row r="92" spans="2:13" x14ac:dyDescent="0.3">
      <c r="B92" s="33"/>
      <c r="C92" s="33"/>
      <c r="D92" s="33"/>
      <c r="E92" s="33"/>
      <c r="F92" s="33"/>
      <c r="G92" s="33"/>
      <c r="H92" s="33"/>
      <c r="I92" s="33"/>
      <c r="J92" s="33"/>
      <c r="K92" s="33"/>
      <c r="L92" s="33"/>
      <c r="M92" s="33"/>
    </row>
    <row r="93" spans="2:13" x14ac:dyDescent="0.3">
      <c r="B93" s="33"/>
      <c r="C93" s="33"/>
      <c r="D93" s="33"/>
      <c r="E93" s="33"/>
      <c r="F93" s="33"/>
      <c r="G93" s="33"/>
      <c r="H93" s="33"/>
      <c r="I93" s="33"/>
      <c r="J93" s="33"/>
      <c r="K93" s="33"/>
      <c r="L93" s="33"/>
      <c r="M93" s="33"/>
    </row>
    <row r="94" spans="2:13" x14ac:dyDescent="0.3">
      <c r="B94" s="33"/>
      <c r="C94" s="33"/>
      <c r="D94" s="33"/>
      <c r="E94" s="33"/>
      <c r="F94" s="33"/>
      <c r="G94" s="33"/>
      <c r="H94" s="33"/>
      <c r="I94" s="33"/>
      <c r="J94" s="33"/>
      <c r="K94" s="33"/>
      <c r="L94" s="33"/>
      <c r="M94" s="33"/>
    </row>
    <row r="95" spans="2:13" x14ac:dyDescent="0.3">
      <c r="B95" s="33"/>
      <c r="C95" s="33"/>
      <c r="D95" s="33"/>
      <c r="E95" s="33"/>
      <c r="F95" s="33"/>
      <c r="G95" s="33"/>
      <c r="H95" s="33"/>
      <c r="I95" s="33"/>
      <c r="J95" s="33"/>
      <c r="K95" s="33"/>
      <c r="L95" s="33"/>
      <c r="M95" s="33"/>
    </row>
    <row r="96" spans="2:13" x14ac:dyDescent="0.3">
      <c r="B96" s="33"/>
      <c r="C96" s="33"/>
      <c r="D96" s="33"/>
      <c r="E96" s="33"/>
      <c r="F96" s="33"/>
      <c r="G96" s="33"/>
      <c r="H96" s="33"/>
      <c r="I96" s="33"/>
      <c r="J96" s="33"/>
      <c r="K96" s="33"/>
      <c r="L96" s="33"/>
      <c r="M96" s="33"/>
    </row>
    <row r="97" spans="2:13" x14ac:dyDescent="0.3">
      <c r="B97" s="33"/>
      <c r="C97" s="33"/>
      <c r="D97" s="33"/>
      <c r="E97" s="33"/>
      <c r="F97" s="33"/>
      <c r="G97" s="33"/>
      <c r="H97" s="33"/>
      <c r="I97" s="33"/>
      <c r="J97" s="33"/>
      <c r="K97" s="33"/>
      <c r="L97" s="33"/>
      <c r="M97" s="33"/>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16" zoomScaleNormal="100" workbookViewId="0">
      <selection activeCell="D87" sqref="D87:H87"/>
    </sheetView>
  </sheetViews>
  <sheetFormatPr defaultColWidth="9.109375" defaultRowHeight="14.4" x14ac:dyDescent="0.3"/>
  <cols>
    <col min="1" max="2" width="9.109375" style="160"/>
    <col min="3" max="3" width="10.88671875" style="160" customWidth="1"/>
    <col min="4" max="12" width="9.109375" style="160"/>
    <col min="13" max="13" width="11.109375" style="160" customWidth="1"/>
    <col min="14" max="14" width="2" style="160" customWidth="1"/>
    <col min="15" max="16384" width="9.109375" style="160"/>
  </cols>
  <sheetData>
    <row r="3" spans="1:14" ht="12.75" customHeight="1" x14ac:dyDescent="0.3">
      <c r="B3" s="239" t="s">
        <v>154</v>
      </c>
      <c r="C3" s="240"/>
      <c r="D3" s="240"/>
      <c r="E3" s="240"/>
      <c r="F3" s="240"/>
      <c r="G3" s="240"/>
      <c r="H3" s="240"/>
      <c r="I3" s="240"/>
      <c r="J3" s="240"/>
      <c r="K3" s="240"/>
      <c r="L3" s="240"/>
      <c r="M3" s="240"/>
      <c r="N3" s="241"/>
    </row>
    <row r="4" spans="1:14" ht="9.75" customHeight="1" x14ac:dyDescent="0.3">
      <c r="B4" s="239"/>
      <c r="C4" s="240"/>
      <c r="D4" s="240"/>
      <c r="E4" s="240"/>
      <c r="F4" s="240"/>
      <c r="G4" s="240"/>
      <c r="H4" s="240"/>
      <c r="I4" s="240"/>
      <c r="J4" s="240"/>
      <c r="K4" s="240"/>
      <c r="L4" s="240"/>
      <c r="M4" s="240"/>
      <c r="N4" s="241"/>
    </row>
    <row r="5" spans="1:14" ht="15.75" customHeight="1" thickBot="1" x14ac:dyDescent="0.35">
      <c r="B5" s="239"/>
      <c r="C5" s="240"/>
      <c r="D5" s="240"/>
      <c r="E5" s="240"/>
      <c r="F5" s="240"/>
      <c r="G5" s="240"/>
      <c r="H5" s="240"/>
      <c r="I5" s="240"/>
      <c r="J5" s="240"/>
      <c r="K5" s="240"/>
      <c r="L5" s="240"/>
      <c r="M5" s="240"/>
      <c r="N5" s="241"/>
    </row>
    <row r="6" spans="1:14" ht="15" thickTop="1" x14ac:dyDescent="0.3">
      <c r="B6" s="132"/>
      <c r="C6" s="133"/>
      <c r="D6" s="133"/>
      <c r="E6" s="133"/>
      <c r="F6" s="133"/>
      <c r="G6" s="133"/>
      <c r="H6" s="133"/>
      <c r="I6" s="133"/>
      <c r="J6" s="133"/>
      <c r="K6" s="133"/>
      <c r="L6" s="133"/>
      <c r="M6" s="133"/>
      <c r="N6" s="159"/>
    </row>
    <row r="7" spans="1:14" x14ac:dyDescent="0.3">
      <c r="A7" s="161"/>
      <c r="B7" s="254" t="s">
        <v>155</v>
      </c>
      <c r="C7" s="255"/>
      <c r="D7" s="255"/>
      <c r="E7" s="255"/>
      <c r="F7" s="255"/>
      <c r="G7" s="255"/>
      <c r="H7" s="255"/>
      <c r="I7" s="255"/>
      <c r="J7" s="255"/>
      <c r="K7" s="255"/>
      <c r="L7" s="255"/>
      <c r="M7" s="255"/>
      <c r="N7" s="131"/>
    </row>
    <row r="8" spans="1:14" x14ac:dyDescent="0.3">
      <c r="B8" s="135"/>
      <c r="C8" s="134"/>
      <c r="D8" s="134"/>
      <c r="E8" s="134"/>
      <c r="F8" s="134"/>
      <c r="G8" s="134"/>
      <c r="H8" s="134"/>
      <c r="I8" s="134"/>
      <c r="J8" s="134"/>
      <c r="K8" s="134"/>
      <c r="L8" s="134"/>
      <c r="M8" s="134"/>
      <c r="N8" s="131"/>
    </row>
    <row r="9" spans="1:14" x14ac:dyDescent="0.3">
      <c r="B9" s="135"/>
      <c r="C9" s="134"/>
      <c r="D9" s="134"/>
      <c r="E9" s="134"/>
      <c r="F9" s="134"/>
      <c r="G9" s="134"/>
      <c r="H9" s="134"/>
      <c r="I9" s="134"/>
      <c r="J9" s="134"/>
      <c r="K9" s="134"/>
      <c r="L9" s="134"/>
      <c r="M9" s="134"/>
      <c r="N9" s="131"/>
    </row>
    <row r="10" spans="1:14" x14ac:dyDescent="0.3">
      <c r="B10" s="135"/>
      <c r="C10" s="134"/>
      <c r="D10" s="134"/>
      <c r="E10" s="134"/>
      <c r="F10" s="134"/>
      <c r="G10" s="134"/>
      <c r="H10" s="134"/>
      <c r="I10" s="134"/>
      <c r="J10" s="134"/>
      <c r="K10" s="134"/>
      <c r="L10" s="134"/>
      <c r="M10" s="134"/>
      <c r="N10" s="131"/>
    </row>
    <row r="11" spans="1:14" x14ac:dyDescent="0.3">
      <c r="B11" s="135"/>
      <c r="C11" s="134"/>
      <c r="D11" s="134"/>
      <c r="E11" s="134"/>
      <c r="F11" s="134"/>
      <c r="G11" s="134"/>
      <c r="H11" s="134"/>
      <c r="I11" s="134"/>
      <c r="J11" s="134"/>
      <c r="K11" s="134"/>
      <c r="L11" s="134"/>
      <c r="M11" s="134"/>
      <c r="N11" s="131"/>
    </row>
    <row r="12" spans="1:14" x14ac:dyDescent="0.3">
      <c r="B12" s="135"/>
      <c r="C12" s="134"/>
      <c r="D12" s="134"/>
      <c r="E12" s="134"/>
      <c r="F12" s="134"/>
      <c r="G12" s="134"/>
      <c r="H12" s="134"/>
      <c r="I12" s="134"/>
      <c r="J12" s="134"/>
      <c r="K12" s="134"/>
      <c r="L12" s="134"/>
      <c r="M12" s="134"/>
      <c r="N12" s="131"/>
    </row>
    <row r="13" spans="1:14" x14ac:dyDescent="0.3">
      <c r="B13" s="135"/>
      <c r="C13" s="134"/>
      <c r="D13" s="134"/>
      <c r="E13" s="134"/>
      <c r="F13" s="134"/>
      <c r="G13" s="134"/>
      <c r="H13" s="134"/>
      <c r="I13" s="134"/>
      <c r="J13" s="134"/>
      <c r="K13" s="134"/>
      <c r="L13" s="134"/>
      <c r="M13" s="134"/>
      <c r="N13" s="131"/>
    </row>
    <row r="14" spans="1:14" x14ac:dyDescent="0.3">
      <c r="B14" s="135"/>
      <c r="C14" s="134"/>
      <c r="D14" s="134"/>
      <c r="E14" s="134"/>
      <c r="F14" s="134"/>
      <c r="G14" s="134"/>
      <c r="H14" s="134"/>
      <c r="I14" s="134"/>
      <c r="J14" s="134"/>
      <c r="K14" s="134"/>
      <c r="L14" s="134"/>
      <c r="M14" s="134"/>
      <c r="N14" s="131"/>
    </row>
    <row r="15" spans="1:14" x14ac:dyDescent="0.3">
      <c r="B15" s="135"/>
      <c r="C15" s="134"/>
      <c r="D15" s="134"/>
      <c r="E15" s="134"/>
      <c r="F15" s="134"/>
      <c r="G15" s="134"/>
      <c r="H15" s="134"/>
      <c r="I15" s="134"/>
      <c r="J15" s="134"/>
      <c r="K15" s="134"/>
      <c r="L15" s="134"/>
      <c r="M15" s="134"/>
      <c r="N15" s="131"/>
    </row>
    <row r="16" spans="1:14" x14ac:dyDescent="0.3">
      <c r="B16" s="135"/>
      <c r="C16" s="134"/>
      <c r="D16" s="134"/>
      <c r="E16" s="134"/>
      <c r="F16" s="134"/>
      <c r="G16" s="134"/>
      <c r="H16" s="134"/>
      <c r="I16" s="134"/>
      <c r="J16" s="134"/>
      <c r="K16" s="134"/>
      <c r="L16" s="134"/>
      <c r="M16" s="134"/>
      <c r="N16" s="131"/>
    </row>
    <row r="17" spans="1:19" x14ac:dyDescent="0.3">
      <c r="B17" s="135"/>
      <c r="C17" s="134"/>
      <c r="D17" s="134"/>
      <c r="E17" s="134"/>
      <c r="F17" s="134"/>
      <c r="G17" s="134"/>
      <c r="H17" s="134"/>
      <c r="I17" s="134"/>
      <c r="J17" s="134"/>
      <c r="K17" s="134"/>
      <c r="L17" s="134"/>
      <c r="M17" s="134"/>
      <c r="N17" s="131"/>
    </row>
    <row r="18" spans="1:19" x14ac:dyDescent="0.3">
      <c r="B18" s="135"/>
      <c r="C18" s="134"/>
      <c r="D18" s="134"/>
      <c r="E18" s="134"/>
      <c r="F18" s="134"/>
      <c r="G18" s="134"/>
      <c r="H18" s="134"/>
      <c r="I18" s="134"/>
      <c r="J18" s="134"/>
      <c r="K18" s="134"/>
      <c r="L18" s="134"/>
      <c r="M18" s="134"/>
      <c r="N18" s="131"/>
    </row>
    <row r="19" spans="1:19" x14ac:dyDescent="0.3">
      <c r="B19" s="135"/>
      <c r="C19" s="134"/>
      <c r="D19" s="134"/>
      <c r="E19" s="134"/>
      <c r="F19" s="134"/>
      <c r="G19" s="134"/>
      <c r="H19" s="134"/>
      <c r="I19" s="134"/>
      <c r="J19" s="134"/>
      <c r="K19" s="134"/>
      <c r="L19" s="134"/>
      <c r="M19" s="134"/>
      <c r="N19" s="131"/>
    </row>
    <row r="20" spans="1:19" ht="17.399999999999999" x14ac:dyDescent="0.3">
      <c r="A20" s="161"/>
      <c r="B20" s="136" t="s">
        <v>239</v>
      </c>
      <c r="C20" s="134"/>
      <c r="D20" s="134"/>
      <c r="E20" s="134"/>
      <c r="F20" s="134"/>
      <c r="G20" s="134"/>
      <c r="H20" s="134"/>
      <c r="I20" s="134"/>
      <c r="J20" s="134"/>
      <c r="K20" s="134"/>
      <c r="L20" s="134"/>
      <c r="M20" s="134"/>
      <c r="N20" s="131"/>
    </row>
    <row r="21" spans="1:19" x14ac:dyDescent="0.3">
      <c r="B21" s="135"/>
      <c r="C21" s="134"/>
      <c r="D21" s="134"/>
      <c r="E21" s="134"/>
      <c r="F21" s="134"/>
      <c r="G21" s="134"/>
      <c r="H21" s="134"/>
      <c r="I21" s="134"/>
      <c r="J21" s="134"/>
      <c r="K21" s="134"/>
      <c r="L21" s="134"/>
      <c r="M21" s="134"/>
      <c r="N21" s="131"/>
    </row>
    <row r="22" spans="1:19" x14ac:dyDescent="0.3">
      <c r="B22" s="135"/>
      <c r="C22" s="149" t="s">
        <v>157</v>
      </c>
      <c r="D22" s="134"/>
      <c r="E22" s="134"/>
      <c r="F22" s="134"/>
      <c r="G22" s="134"/>
      <c r="H22" s="134"/>
      <c r="I22" s="134"/>
      <c r="J22" s="134"/>
      <c r="K22" s="134"/>
      <c r="L22" s="134"/>
      <c r="M22" s="134"/>
      <c r="N22" s="131"/>
    </row>
    <row r="23" spans="1:19" x14ac:dyDescent="0.3">
      <c r="B23" s="135"/>
      <c r="C23" s="137"/>
      <c r="D23" s="150" t="s">
        <v>158</v>
      </c>
      <c r="E23" s="134"/>
      <c r="F23" s="134"/>
      <c r="G23" s="134"/>
      <c r="H23" s="134"/>
      <c r="I23" s="134"/>
      <c r="J23" s="134"/>
      <c r="K23" s="134"/>
      <c r="L23" s="134"/>
      <c r="M23" s="134"/>
      <c r="N23" s="131"/>
    </row>
    <row r="24" spans="1:19" x14ac:dyDescent="0.3">
      <c r="B24" s="135"/>
      <c r="C24" s="139"/>
      <c r="D24" s="150" t="s">
        <v>159</v>
      </c>
      <c r="E24" s="134"/>
      <c r="F24" s="134"/>
      <c r="G24" s="134"/>
      <c r="H24" s="134"/>
      <c r="I24" s="134"/>
      <c r="J24" s="134"/>
      <c r="K24" s="134"/>
      <c r="L24" s="134"/>
      <c r="M24" s="134"/>
      <c r="N24" s="131"/>
    </row>
    <row r="25" spans="1:19" ht="16.8" x14ac:dyDescent="0.4">
      <c r="B25" s="135"/>
      <c r="C25" s="140"/>
      <c r="D25" s="150" t="s">
        <v>160</v>
      </c>
      <c r="E25" s="134"/>
      <c r="F25" s="134"/>
      <c r="G25" s="134"/>
      <c r="H25" s="134"/>
      <c r="I25" s="134"/>
      <c r="J25" s="134"/>
      <c r="K25" s="134"/>
      <c r="L25" s="134"/>
      <c r="M25" s="134"/>
      <c r="N25" s="131"/>
      <c r="S25" s="166"/>
    </row>
    <row r="26" spans="1:19" ht="16.8" x14ac:dyDescent="0.4">
      <c r="B26" s="135"/>
      <c r="C26" s="134"/>
      <c r="D26" s="134"/>
      <c r="E26" s="134"/>
      <c r="F26" s="134"/>
      <c r="G26" s="134"/>
      <c r="H26" s="134"/>
      <c r="I26" s="134"/>
      <c r="J26" s="134"/>
      <c r="K26" s="134"/>
      <c r="L26" s="134"/>
      <c r="M26" s="134"/>
      <c r="N26" s="131"/>
      <c r="S26" s="167"/>
    </row>
    <row r="27" spans="1:19" ht="16.8" x14ac:dyDescent="0.4">
      <c r="A27" s="161"/>
      <c r="B27" s="254" t="s">
        <v>162</v>
      </c>
      <c r="C27" s="255"/>
      <c r="D27" s="255"/>
      <c r="E27" s="255"/>
      <c r="F27" s="255"/>
      <c r="G27" s="255"/>
      <c r="H27" s="255"/>
      <c r="I27" s="255"/>
      <c r="J27" s="255"/>
      <c r="K27" s="255"/>
      <c r="L27" s="255"/>
      <c r="M27" s="255"/>
      <c r="N27" s="131"/>
      <c r="S27" s="166"/>
    </row>
    <row r="28" spans="1:19" ht="9.75" customHeight="1" x14ac:dyDescent="0.4">
      <c r="B28" s="135"/>
      <c r="C28" s="134"/>
      <c r="D28" s="134"/>
      <c r="E28" s="134"/>
      <c r="F28" s="134"/>
      <c r="G28" s="134"/>
      <c r="H28" s="134"/>
      <c r="I28" s="134"/>
      <c r="J28" s="134"/>
      <c r="K28" s="134"/>
      <c r="L28" s="134"/>
      <c r="M28" s="134"/>
      <c r="N28" s="131"/>
      <c r="S28" s="166"/>
    </row>
    <row r="29" spans="1:19" x14ac:dyDescent="0.3">
      <c r="B29" s="135"/>
      <c r="C29" s="134"/>
      <c r="D29" s="134"/>
      <c r="E29" s="134"/>
      <c r="F29" s="134"/>
      <c r="G29" s="134"/>
      <c r="H29" s="134"/>
      <c r="I29" s="134"/>
      <c r="J29" s="134"/>
      <c r="K29" s="134"/>
      <c r="L29" s="134"/>
      <c r="M29" s="134"/>
      <c r="N29" s="131"/>
    </row>
    <row r="30" spans="1:19" x14ac:dyDescent="0.3">
      <c r="B30" s="135"/>
      <c r="C30" s="134"/>
      <c r="D30" s="134"/>
      <c r="E30" s="134"/>
      <c r="F30" s="134"/>
      <c r="G30" s="134"/>
      <c r="H30" s="134"/>
      <c r="I30" s="134"/>
      <c r="J30" s="134"/>
      <c r="K30" s="134"/>
      <c r="L30" s="134"/>
      <c r="M30" s="134"/>
      <c r="N30" s="131"/>
    </row>
    <row r="31" spans="1:19" x14ac:dyDescent="0.3">
      <c r="B31" s="135"/>
      <c r="C31" s="134"/>
      <c r="D31" s="134"/>
      <c r="E31" s="134"/>
      <c r="F31" s="134"/>
      <c r="G31" s="134"/>
      <c r="H31" s="134"/>
      <c r="I31" s="134"/>
      <c r="J31" s="134"/>
      <c r="K31" s="134"/>
      <c r="L31" s="134"/>
      <c r="M31" s="134"/>
      <c r="N31" s="131"/>
    </row>
    <row r="32" spans="1:19" x14ac:dyDescent="0.3">
      <c r="B32" s="135"/>
      <c r="C32" s="134"/>
      <c r="D32" s="134"/>
      <c r="E32" s="134"/>
      <c r="F32" s="134"/>
      <c r="G32" s="134"/>
      <c r="H32" s="134"/>
      <c r="I32" s="134"/>
      <c r="J32" s="134"/>
      <c r="K32" s="134"/>
      <c r="L32" s="134"/>
      <c r="M32" s="134"/>
      <c r="N32" s="131"/>
    </row>
    <row r="33" spans="1:14" x14ac:dyDescent="0.3">
      <c r="B33" s="135"/>
      <c r="C33" s="134"/>
      <c r="D33" s="134"/>
      <c r="E33" s="134"/>
      <c r="F33" s="134"/>
      <c r="G33" s="134"/>
      <c r="H33" s="134"/>
      <c r="I33" s="134"/>
      <c r="J33" s="134"/>
      <c r="K33" s="134"/>
      <c r="L33" s="134"/>
      <c r="M33" s="134"/>
      <c r="N33" s="131"/>
    </row>
    <row r="34" spans="1:14" x14ac:dyDescent="0.3">
      <c r="B34" s="135"/>
      <c r="C34" s="134"/>
      <c r="D34" s="134"/>
      <c r="E34" s="134"/>
      <c r="F34" s="134"/>
      <c r="G34" s="134"/>
      <c r="H34" s="134"/>
      <c r="I34" s="134"/>
      <c r="J34" s="134"/>
      <c r="K34" s="134"/>
      <c r="L34" s="134"/>
      <c r="M34" s="134"/>
      <c r="N34" s="131"/>
    </row>
    <row r="35" spans="1:14" x14ac:dyDescent="0.3">
      <c r="B35" s="135"/>
      <c r="C35" s="134"/>
      <c r="D35" s="134"/>
      <c r="E35" s="134"/>
      <c r="F35" s="134"/>
      <c r="G35" s="134"/>
      <c r="H35" s="134"/>
      <c r="I35" s="134"/>
      <c r="J35" s="134"/>
      <c r="K35" s="134"/>
      <c r="L35" s="134"/>
      <c r="M35" s="134"/>
      <c r="N35" s="131"/>
    </row>
    <row r="36" spans="1:14" ht="42.75" customHeight="1" x14ac:dyDescent="0.3">
      <c r="B36" s="135"/>
      <c r="C36" s="134"/>
      <c r="D36" s="134"/>
      <c r="E36" s="134"/>
      <c r="F36" s="134"/>
      <c r="G36" s="134"/>
      <c r="H36" s="134"/>
      <c r="I36" s="134"/>
      <c r="J36" s="134"/>
      <c r="K36" s="134"/>
      <c r="L36" s="134"/>
      <c r="M36" s="134"/>
      <c r="N36" s="131"/>
    </row>
    <row r="37" spans="1:14" ht="31.5" customHeight="1" x14ac:dyDescent="0.3">
      <c r="A37" s="161"/>
      <c r="B37" s="250" t="s">
        <v>161</v>
      </c>
      <c r="C37" s="250"/>
      <c r="D37" s="250"/>
      <c r="E37" s="250"/>
      <c r="F37" s="250"/>
      <c r="G37" s="250"/>
      <c r="H37" s="250"/>
      <c r="I37" s="250"/>
      <c r="J37" s="250"/>
      <c r="K37" s="250"/>
      <c r="L37" s="250"/>
      <c r="M37" s="250"/>
      <c r="N37" s="131"/>
    </row>
    <row r="38" spans="1:14" x14ac:dyDescent="0.3">
      <c r="B38" s="135"/>
      <c r="C38" s="134"/>
      <c r="D38" s="134"/>
      <c r="E38" s="134"/>
      <c r="F38" s="134"/>
      <c r="G38" s="134"/>
      <c r="H38" s="134"/>
      <c r="I38" s="134"/>
      <c r="J38" s="134"/>
      <c r="K38" s="134"/>
      <c r="L38" s="134"/>
      <c r="M38" s="134"/>
      <c r="N38" s="131"/>
    </row>
    <row r="39" spans="1:14" x14ac:dyDescent="0.3">
      <c r="B39" s="144" t="s">
        <v>156</v>
      </c>
      <c r="C39" s="138"/>
      <c r="D39" s="138"/>
      <c r="E39" s="138"/>
      <c r="F39" s="138"/>
      <c r="G39" s="138"/>
      <c r="H39" s="138"/>
      <c r="I39" s="138"/>
      <c r="J39" s="138"/>
      <c r="K39" s="138"/>
      <c r="L39" s="138"/>
      <c r="M39" s="146"/>
      <c r="N39" s="131"/>
    </row>
    <row r="40" spans="1:14" ht="72" customHeight="1" x14ac:dyDescent="0.3">
      <c r="A40" s="161"/>
      <c r="B40" s="251" t="s">
        <v>226</v>
      </c>
      <c r="C40" s="251"/>
      <c r="D40" s="251"/>
      <c r="E40" s="251"/>
      <c r="F40" s="251"/>
      <c r="G40" s="251"/>
      <c r="H40" s="251"/>
      <c r="I40" s="251"/>
      <c r="J40" s="251"/>
      <c r="K40" s="251"/>
      <c r="L40" s="251"/>
      <c r="M40" s="251"/>
      <c r="N40" s="131"/>
    </row>
    <row r="41" spans="1:14" ht="12.75" customHeight="1" x14ac:dyDescent="0.3">
      <c r="A41" s="161"/>
      <c r="B41" s="138"/>
      <c r="C41" s="138"/>
      <c r="D41" s="138"/>
      <c r="E41" s="138"/>
      <c r="F41" s="138"/>
      <c r="G41" s="138"/>
      <c r="H41" s="138"/>
      <c r="I41" s="138"/>
      <c r="J41" s="138"/>
      <c r="K41" s="138"/>
      <c r="L41" s="138"/>
      <c r="M41" s="146"/>
      <c r="N41" s="131"/>
    </row>
    <row r="42" spans="1:14" ht="17.399999999999999" x14ac:dyDescent="0.3">
      <c r="A42" s="161"/>
      <c r="B42" s="145" t="s">
        <v>240</v>
      </c>
      <c r="C42" s="138"/>
      <c r="D42" s="138"/>
      <c r="E42" s="138"/>
      <c r="F42" s="138"/>
      <c r="G42" s="138"/>
      <c r="H42" s="138"/>
      <c r="I42" s="138"/>
      <c r="J42" s="138"/>
      <c r="K42" s="138"/>
      <c r="L42" s="138"/>
      <c r="M42" s="146"/>
      <c r="N42" s="131"/>
    </row>
    <row r="43" spans="1:14" x14ac:dyDescent="0.3">
      <c r="A43" s="161"/>
      <c r="B43" s="138"/>
      <c r="C43" s="138"/>
      <c r="D43" s="138"/>
      <c r="E43" s="138"/>
      <c r="F43" s="138"/>
      <c r="G43" s="138"/>
      <c r="H43" s="138"/>
      <c r="I43" s="138"/>
      <c r="J43" s="138"/>
      <c r="K43" s="138"/>
      <c r="L43" s="138"/>
      <c r="M43" s="146"/>
      <c r="N43" s="131"/>
    </row>
    <row r="44" spans="1:14" x14ac:dyDescent="0.3">
      <c r="A44" s="161"/>
      <c r="B44" s="256" t="s">
        <v>186</v>
      </c>
      <c r="C44" s="257"/>
      <c r="D44" s="257"/>
      <c r="E44" s="257"/>
      <c r="F44" s="257"/>
      <c r="G44" s="257"/>
      <c r="H44" s="257"/>
      <c r="I44" s="257"/>
      <c r="J44" s="257"/>
      <c r="K44" s="257"/>
      <c r="L44" s="257"/>
      <c r="M44" s="257"/>
      <c r="N44" s="131"/>
    </row>
    <row r="45" spans="1:14" ht="9" customHeight="1" x14ac:dyDescent="0.3">
      <c r="A45" s="161"/>
      <c r="B45" s="138"/>
      <c r="C45" s="138"/>
      <c r="D45" s="138"/>
      <c r="E45" s="138"/>
      <c r="F45" s="138"/>
      <c r="G45" s="138"/>
      <c r="H45" s="138"/>
      <c r="I45" s="138"/>
      <c r="J45" s="138"/>
      <c r="K45" s="138"/>
      <c r="L45" s="138"/>
      <c r="M45" s="146"/>
      <c r="N45" s="131"/>
    </row>
    <row r="46" spans="1:14" x14ac:dyDescent="0.3">
      <c r="A46" s="161"/>
      <c r="B46" s="258" t="s">
        <v>163</v>
      </c>
      <c r="C46" s="259"/>
      <c r="D46" s="259"/>
      <c r="E46" s="259"/>
      <c r="F46" s="259"/>
      <c r="G46" s="259"/>
      <c r="H46" s="259"/>
      <c r="I46" s="259"/>
      <c r="J46" s="259"/>
      <c r="K46" s="259"/>
      <c r="L46" s="259"/>
      <c r="M46" s="259"/>
      <c r="N46" s="131"/>
    </row>
    <row r="47" spans="1:14" ht="45" customHeight="1" x14ac:dyDescent="0.3">
      <c r="A47" s="161"/>
      <c r="B47" s="267" t="s">
        <v>164</v>
      </c>
      <c r="C47" s="267"/>
      <c r="D47" s="267"/>
      <c r="E47" s="267"/>
      <c r="F47" s="267"/>
      <c r="G47" s="267"/>
      <c r="H47" s="267"/>
      <c r="I47" s="267"/>
      <c r="J47" s="267"/>
      <c r="K47" s="267"/>
      <c r="L47" s="267"/>
      <c r="M47" s="267"/>
      <c r="N47" s="131"/>
    </row>
    <row r="48" spans="1:14" ht="43.5" customHeight="1" x14ac:dyDescent="0.3">
      <c r="A48" s="161"/>
      <c r="B48" s="267" t="s">
        <v>235</v>
      </c>
      <c r="C48" s="267"/>
      <c r="D48" s="267"/>
      <c r="E48" s="267"/>
      <c r="F48" s="267"/>
      <c r="G48" s="267"/>
      <c r="H48" s="267"/>
      <c r="I48" s="267"/>
      <c r="J48" s="267"/>
      <c r="K48" s="267"/>
      <c r="L48" s="267"/>
      <c r="M48" s="267"/>
      <c r="N48" s="131"/>
    </row>
    <row r="49" spans="1:14" ht="15.75" customHeight="1" x14ac:dyDescent="0.3">
      <c r="A49" s="161"/>
      <c r="B49" s="267" t="s">
        <v>236</v>
      </c>
      <c r="C49" s="267"/>
      <c r="D49" s="267"/>
      <c r="E49" s="267"/>
      <c r="F49" s="267"/>
      <c r="G49" s="267"/>
      <c r="H49" s="267"/>
      <c r="I49" s="267"/>
      <c r="J49" s="267"/>
      <c r="K49" s="267"/>
      <c r="L49" s="267"/>
      <c r="M49" s="267"/>
      <c r="N49" s="131"/>
    </row>
    <row r="50" spans="1:14" ht="90" customHeight="1" x14ac:dyDescent="0.3">
      <c r="A50" s="161"/>
      <c r="B50" s="267" t="s">
        <v>224</v>
      </c>
      <c r="C50" s="267"/>
      <c r="D50" s="267"/>
      <c r="E50" s="267"/>
      <c r="F50" s="267"/>
      <c r="G50" s="267"/>
      <c r="H50" s="267"/>
      <c r="I50" s="267"/>
      <c r="J50" s="267"/>
      <c r="K50" s="267"/>
      <c r="L50" s="267"/>
      <c r="M50" s="267"/>
      <c r="N50" s="131"/>
    </row>
    <row r="51" spans="1:14" ht="33.75" customHeight="1" x14ac:dyDescent="0.3">
      <c r="B51" s="252" t="s">
        <v>187</v>
      </c>
      <c r="C51" s="253"/>
      <c r="D51" s="253"/>
      <c r="E51" s="253"/>
      <c r="F51" s="253"/>
      <c r="G51" s="253"/>
      <c r="H51" s="253"/>
      <c r="I51" s="253"/>
      <c r="J51" s="253"/>
      <c r="K51" s="253"/>
      <c r="L51" s="253"/>
      <c r="M51" s="253"/>
      <c r="N51" s="131"/>
    </row>
    <row r="52" spans="1:14" ht="46.5" customHeight="1" x14ac:dyDescent="0.3">
      <c r="B52" s="260" t="s">
        <v>165</v>
      </c>
      <c r="C52" s="261"/>
      <c r="D52" s="261"/>
      <c r="E52" s="261"/>
      <c r="F52" s="261"/>
      <c r="G52" s="261"/>
      <c r="H52" s="261"/>
      <c r="I52" s="261"/>
      <c r="J52" s="261"/>
      <c r="K52" s="261"/>
      <c r="L52" s="261"/>
      <c r="M52" s="261"/>
      <c r="N52" s="131"/>
    </row>
    <row r="53" spans="1:14" ht="61.5" customHeight="1" x14ac:dyDescent="0.3">
      <c r="B53" s="260" t="s">
        <v>166</v>
      </c>
      <c r="C53" s="261"/>
      <c r="D53" s="261"/>
      <c r="E53" s="261"/>
      <c r="F53" s="261"/>
      <c r="G53" s="261"/>
      <c r="H53" s="261"/>
      <c r="I53" s="261"/>
      <c r="J53" s="261"/>
      <c r="K53" s="261"/>
      <c r="L53" s="261"/>
      <c r="M53" s="261"/>
      <c r="N53" s="131"/>
    </row>
    <row r="54" spans="1:14" x14ac:dyDescent="0.3">
      <c r="B54" s="258" t="s">
        <v>167</v>
      </c>
      <c r="C54" s="259"/>
      <c r="D54" s="259"/>
      <c r="E54" s="259"/>
      <c r="F54" s="259"/>
      <c r="G54" s="259"/>
      <c r="H54" s="259"/>
      <c r="I54" s="259"/>
      <c r="J54" s="259"/>
      <c r="K54" s="259"/>
      <c r="L54" s="259"/>
      <c r="M54" s="259"/>
      <c r="N54" s="131"/>
    </row>
    <row r="55" spans="1:14" x14ac:dyDescent="0.3">
      <c r="B55" s="141"/>
      <c r="C55" s="138"/>
      <c r="D55" s="138"/>
      <c r="E55" s="138"/>
      <c r="F55" s="138"/>
      <c r="G55" s="138"/>
      <c r="H55" s="138"/>
      <c r="I55" s="138"/>
      <c r="J55" s="138"/>
      <c r="K55" s="138"/>
      <c r="L55" s="138"/>
      <c r="M55" s="146"/>
      <c r="N55" s="131"/>
    </row>
    <row r="56" spans="1:14" ht="33" customHeight="1" x14ac:dyDescent="0.3">
      <c r="B56" s="252" t="s">
        <v>188</v>
      </c>
      <c r="C56" s="253"/>
      <c r="D56" s="253"/>
      <c r="E56" s="253"/>
      <c r="F56" s="253"/>
      <c r="G56" s="253"/>
      <c r="H56" s="253"/>
      <c r="I56" s="253"/>
      <c r="J56" s="253"/>
      <c r="K56" s="253"/>
      <c r="L56" s="253"/>
      <c r="M56" s="253"/>
      <c r="N56" s="131"/>
    </row>
    <row r="57" spans="1:14" x14ac:dyDescent="0.3">
      <c r="B57" s="141" t="s">
        <v>168</v>
      </c>
      <c r="C57" s="138"/>
      <c r="D57" s="138"/>
      <c r="E57" s="138"/>
      <c r="F57" s="138"/>
      <c r="G57" s="138"/>
      <c r="H57" s="138"/>
      <c r="I57" s="138"/>
      <c r="J57" s="138"/>
      <c r="K57" s="138"/>
      <c r="L57" s="138"/>
      <c r="M57" s="146"/>
      <c r="N57" s="131"/>
    </row>
    <row r="58" spans="1:14" ht="47.25" customHeight="1" x14ac:dyDescent="0.3">
      <c r="B58" s="260" t="s">
        <v>169</v>
      </c>
      <c r="C58" s="261"/>
      <c r="D58" s="261"/>
      <c r="E58" s="261"/>
      <c r="F58" s="261"/>
      <c r="G58" s="261"/>
      <c r="H58" s="261"/>
      <c r="I58" s="261"/>
      <c r="J58" s="261"/>
      <c r="K58" s="261"/>
      <c r="L58" s="261"/>
      <c r="M58" s="261"/>
      <c r="N58" s="131"/>
    </row>
    <row r="59" spans="1:14" x14ac:dyDescent="0.3">
      <c r="B59" s="141" t="s">
        <v>170</v>
      </c>
      <c r="C59" s="138"/>
      <c r="D59" s="138"/>
      <c r="E59" s="138"/>
      <c r="F59" s="138"/>
      <c r="G59" s="138"/>
      <c r="H59" s="138"/>
      <c r="I59" s="138"/>
      <c r="J59" s="138"/>
      <c r="K59" s="138"/>
      <c r="L59" s="138"/>
      <c r="M59" s="146"/>
      <c r="N59" s="131"/>
    </row>
    <row r="60" spans="1:14" x14ac:dyDescent="0.3">
      <c r="B60" s="141"/>
      <c r="C60" s="138"/>
      <c r="D60" s="138"/>
      <c r="E60" s="138"/>
      <c r="F60" s="138"/>
      <c r="G60" s="138"/>
      <c r="H60" s="138"/>
      <c r="I60" s="138"/>
      <c r="J60" s="138"/>
      <c r="K60" s="138"/>
      <c r="L60" s="138"/>
      <c r="M60" s="146"/>
      <c r="N60" s="131"/>
    </row>
    <row r="61" spans="1:14" ht="33" customHeight="1" x14ac:dyDescent="0.3">
      <c r="B61" s="252" t="s">
        <v>189</v>
      </c>
      <c r="C61" s="253"/>
      <c r="D61" s="253"/>
      <c r="E61" s="253"/>
      <c r="F61" s="253"/>
      <c r="G61" s="253"/>
      <c r="H61" s="253"/>
      <c r="I61" s="253"/>
      <c r="J61" s="253"/>
      <c r="K61" s="253"/>
      <c r="L61" s="253"/>
      <c r="M61" s="253"/>
      <c r="N61" s="131"/>
    </row>
    <row r="62" spans="1:14" x14ac:dyDescent="0.3">
      <c r="B62" s="258" t="s">
        <v>171</v>
      </c>
      <c r="C62" s="259"/>
      <c r="D62" s="259"/>
      <c r="E62" s="259"/>
      <c r="F62" s="259"/>
      <c r="G62" s="259"/>
      <c r="H62" s="259"/>
      <c r="I62" s="259"/>
      <c r="J62" s="259"/>
      <c r="K62" s="259"/>
      <c r="L62" s="259"/>
      <c r="M62" s="259"/>
      <c r="N62" s="131"/>
    </row>
    <row r="63" spans="1:14" x14ac:dyDescent="0.3">
      <c r="B63" s="258" t="s">
        <v>172</v>
      </c>
      <c r="C63" s="259"/>
      <c r="D63" s="259"/>
      <c r="E63" s="259"/>
      <c r="F63" s="259"/>
      <c r="G63" s="259"/>
      <c r="H63" s="259"/>
      <c r="I63" s="259"/>
      <c r="J63" s="259"/>
      <c r="K63" s="259"/>
      <c r="L63" s="259"/>
      <c r="M63" s="259"/>
      <c r="N63" s="131"/>
    </row>
    <row r="64" spans="1:14" ht="32.25" customHeight="1" x14ac:dyDescent="0.3">
      <c r="B64" s="260" t="s">
        <v>173</v>
      </c>
      <c r="C64" s="261"/>
      <c r="D64" s="261"/>
      <c r="E64" s="261"/>
      <c r="F64" s="261"/>
      <c r="G64" s="261"/>
      <c r="H64" s="261"/>
      <c r="I64" s="261"/>
      <c r="J64" s="261"/>
      <c r="K64" s="261"/>
      <c r="L64" s="261"/>
      <c r="M64" s="261"/>
      <c r="N64" s="131"/>
    </row>
    <row r="65" spans="2:14" ht="16.5" customHeight="1" x14ac:dyDescent="0.3">
      <c r="B65" s="147"/>
      <c r="C65" s="148"/>
      <c r="D65" s="148"/>
      <c r="E65" s="148"/>
      <c r="F65" s="148"/>
      <c r="G65" s="148"/>
      <c r="H65" s="148"/>
      <c r="I65" s="148"/>
      <c r="J65" s="148"/>
      <c r="K65" s="148"/>
      <c r="L65" s="148"/>
      <c r="M65" s="148"/>
      <c r="N65" s="131"/>
    </row>
    <row r="66" spans="2:14" x14ac:dyDescent="0.3">
      <c r="B66" s="252" t="s">
        <v>190</v>
      </c>
      <c r="C66" s="253"/>
      <c r="D66" s="253"/>
      <c r="E66" s="253"/>
      <c r="F66" s="253"/>
      <c r="G66" s="253"/>
      <c r="H66" s="253"/>
      <c r="I66" s="253"/>
      <c r="J66" s="253"/>
      <c r="K66" s="253"/>
      <c r="L66" s="253"/>
      <c r="M66" s="253"/>
      <c r="N66" s="131"/>
    </row>
    <row r="67" spans="2:14" ht="32.25" customHeight="1" x14ac:dyDescent="0.3">
      <c r="B67" s="147"/>
      <c r="C67" s="148"/>
      <c r="D67" s="148"/>
      <c r="E67" s="148"/>
      <c r="F67" s="148"/>
      <c r="G67" s="148"/>
      <c r="H67" s="148"/>
      <c r="I67" s="148"/>
      <c r="J67" s="148"/>
      <c r="K67" s="148"/>
      <c r="L67" s="148"/>
      <c r="M67" s="148"/>
      <c r="N67" s="131"/>
    </row>
    <row r="68" spans="2:14" ht="32.25" customHeight="1" x14ac:dyDescent="0.3">
      <c r="B68" s="147"/>
      <c r="C68" s="148"/>
      <c r="D68" s="148"/>
      <c r="E68" s="148"/>
      <c r="F68" s="148"/>
      <c r="G68" s="148"/>
      <c r="H68" s="148"/>
      <c r="I68" s="148"/>
      <c r="J68" s="148"/>
      <c r="K68" s="148"/>
      <c r="L68" s="148"/>
      <c r="M68" s="148"/>
      <c r="N68" s="131"/>
    </row>
    <row r="69" spans="2:14" ht="32.25" customHeight="1" x14ac:dyDescent="0.3">
      <c r="B69" s="147"/>
      <c r="C69" s="148"/>
      <c r="D69" s="148"/>
      <c r="E69" s="148"/>
      <c r="F69" s="148"/>
      <c r="G69" s="148"/>
      <c r="H69" s="148"/>
      <c r="I69" s="148"/>
      <c r="J69" s="148"/>
      <c r="K69" s="148"/>
      <c r="L69" s="148"/>
      <c r="M69" s="148"/>
      <c r="N69" s="131"/>
    </row>
    <row r="70" spans="2:14" ht="32.25" customHeight="1" x14ac:dyDescent="0.3">
      <c r="B70" s="147"/>
      <c r="C70" s="148"/>
      <c r="D70" s="148"/>
      <c r="E70" s="148"/>
      <c r="F70" s="148"/>
      <c r="G70" s="148"/>
      <c r="H70" s="148"/>
      <c r="I70" s="148"/>
      <c r="J70" s="148"/>
      <c r="K70" s="148"/>
      <c r="L70" s="148"/>
      <c r="M70" s="148"/>
      <c r="N70" s="131"/>
    </row>
    <row r="71" spans="2:14" ht="32.25" customHeight="1" x14ac:dyDescent="0.3">
      <c r="B71" s="147"/>
      <c r="C71" s="148"/>
      <c r="D71" s="148"/>
      <c r="E71" s="148"/>
      <c r="F71" s="148"/>
      <c r="G71" s="148"/>
      <c r="H71" s="148"/>
      <c r="I71" s="148"/>
      <c r="J71" s="148"/>
      <c r="K71" s="148"/>
      <c r="L71" s="148"/>
      <c r="M71" s="148"/>
      <c r="N71" s="131"/>
    </row>
    <row r="72" spans="2:14" ht="17.399999999999999" x14ac:dyDescent="0.3">
      <c r="B72" s="262" t="s">
        <v>241</v>
      </c>
      <c r="C72" s="263"/>
      <c r="D72" s="263"/>
      <c r="E72" s="263"/>
      <c r="F72" s="263"/>
      <c r="G72" s="263"/>
      <c r="H72" s="263"/>
      <c r="I72" s="263"/>
      <c r="J72" s="263"/>
      <c r="K72" s="263"/>
      <c r="L72" s="263"/>
      <c r="M72" s="263"/>
      <c r="N72" s="131"/>
    </row>
    <row r="73" spans="2:14" x14ac:dyDescent="0.3">
      <c r="B73" s="141"/>
      <c r="C73" s="138"/>
      <c r="D73" s="138"/>
      <c r="E73" s="138"/>
      <c r="F73" s="138"/>
      <c r="G73" s="138"/>
      <c r="H73" s="138"/>
      <c r="I73" s="138"/>
      <c r="J73" s="138"/>
      <c r="K73" s="138"/>
      <c r="L73" s="138"/>
      <c r="M73" s="146"/>
      <c r="N73" s="131"/>
    </row>
    <row r="74" spans="2:14" x14ac:dyDescent="0.3">
      <c r="B74" s="252" t="s">
        <v>191</v>
      </c>
      <c r="C74" s="253"/>
      <c r="D74" s="253"/>
      <c r="E74" s="253"/>
      <c r="F74" s="253"/>
      <c r="G74" s="253"/>
      <c r="H74" s="253"/>
      <c r="I74" s="253"/>
      <c r="J74" s="253"/>
      <c r="K74" s="253"/>
      <c r="L74" s="253"/>
      <c r="M74" s="253"/>
      <c r="N74" s="264"/>
    </row>
    <row r="75" spans="2:14" x14ac:dyDescent="0.3">
      <c r="B75" s="141" t="s">
        <v>242</v>
      </c>
      <c r="C75" s="138"/>
      <c r="D75" s="265" t="s">
        <v>148</v>
      </c>
      <c r="E75" s="265"/>
      <c r="F75" s="265"/>
      <c r="G75" s="265"/>
      <c r="H75" s="265"/>
      <c r="I75" s="265"/>
      <c r="J75" s="138"/>
      <c r="K75" s="138"/>
      <c r="L75" s="138"/>
      <c r="M75" s="146"/>
      <c r="N75" s="131"/>
    </row>
    <row r="76" spans="2:14" ht="27.75" customHeight="1" x14ac:dyDescent="0.3">
      <c r="B76" s="260" t="s">
        <v>174</v>
      </c>
      <c r="C76" s="261"/>
      <c r="D76" s="261"/>
      <c r="E76" s="261"/>
      <c r="F76" s="261"/>
      <c r="G76" s="261"/>
      <c r="H76" s="261"/>
      <c r="I76" s="261"/>
      <c r="J76" s="261"/>
      <c r="K76" s="261"/>
      <c r="L76" s="261"/>
      <c r="M76" s="261"/>
      <c r="N76" s="131"/>
    </row>
    <row r="77" spans="2:14" ht="29.25" customHeight="1" x14ac:dyDescent="0.3">
      <c r="B77" s="260" t="s">
        <v>175</v>
      </c>
      <c r="C77" s="261"/>
      <c r="D77" s="261"/>
      <c r="E77" s="261"/>
      <c r="F77" s="261"/>
      <c r="G77" s="261"/>
      <c r="H77" s="261"/>
      <c r="I77" s="261"/>
      <c r="J77" s="261"/>
      <c r="K77" s="261"/>
      <c r="L77" s="261"/>
      <c r="M77" s="261"/>
      <c r="N77" s="131"/>
    </row>
    <row r="78" spans="2:14" x14ac:dyDescent="0.3">
      <c r="B78" s="141" t="s">
        <v>176</v>
      </c>
      <c r="C78" s="138"/>
      <c r="D78" s="138"/>
      <c r="E78" s="138"/>
      <c r="F78" s="138"/>
      <c r="G78" s="138"/>
      <c r="H78" s="138"/>
      <c r="I78" s="138"/>
      <c r="J78" s="138"/>
      <c r="K78" s="138"/>
      <c r="L78" s="138"/>
      <c r="M78" s="146"/>
      <c r="N78" s="131"/>
    </row>
    <row r="79" spans="2:14" x14ac:dyDescent="0.3">
      <c r="B79" s="141"/>
      <c r="C79" s="138"/>
      <c r="D79" s="138"/>
      <c r="E79" s="138"/>
      <c r="F79" s="138"/>
      <c r="G79" s="138"/>
      <c r="H79" s="138"/>
      <c r="I79" s="138"/>
      <c r="J79" s="138"/>
      <c r="K79" s="138"/>
      <c r="L79" s="138"/>
      <c r="M79" s="146"/>
      <c r="N79" s="131"/>
    </row>
    <row r="80" spans="2:14" x14ac:dyDescent="0.3">
      <c r="B80" s="252" t="s">
        <v>215</v>
      </c>
      <c r="C80" s="253"/>
      <c r="D80" s="253"/>
      <c r="E80" s="253"/>
      <c r="F80" s="253"/>
      <c r="G80" s="253"/>
      <c r="H80" s="253"/>
      <c r="I80" s="253"/>
      <c r="J80" s="253"/>
      <c r="K80" s="253"/>
      <c r="L80" s="253"/>
      <c r="M80" s="253"/>
      <c r="N80" s="264"/>
    </row>
    <row r="81" spans="2:14" x14ac:dyDescent="0.3">
      <c r="B81" s="141" t="s">
        <v>243</v>
      </c>
      <c r="C81" s="138"/>
      <c r="D81" s="266" t="s">
        <v>149</v>
      </c>
      <c r="E81" s="266"/>
      <c r="F81" s="266"/>
      <c r="G81" s="266"/>
      <c r="H81" s="266"/>
      <c r="I81" s="138"/>
      <c r="J81" s="138"/>
      <c r="K81" s="138"/>
      <c r="L81" s="138"/>
      <c r="M81" s="146"/>
      <c r="N81" s="131"/>
    </row>
    <row r="82" spans="2:14" ht="58.5" customHeight="1" x14ac:dyDescent="0.3">
      <c r="B82" s="260" t="s">
        <v>177</v>
      </c>
      <c r="C82" s="261"/>
      <c r="D82" s="261"/>
      <c r="E82" s="261"/>
      <c r="F82" s="261"/>
      <c r="G82" s="261"/>
      <c r="H82" s="261"/>
      <c r="I82" s="261"/>
      <c r="J82" s="261"/>
      <c r="K82" s="261"/>
      <c r="L82" s="261"/>
      <c r="M82" s="261"/>
      <c r="N82" s="131"/>
    </row>
    <row r="83" spans="2:14" x14ac:dyDescent="0.3">
      <c r="B83" s="141" t="s">
        <v>178</v>
      </c>
      <c r="C83" s="138"/>
      <c r="D83" s="138"/>
      <c r="E83" s="138"/>
      <c r="F83" s="138"/>
      <c r="G83" s="138"/>
      <c r="H83" s="138"/>
      <c r="I83" s="138"/>
      <c r="J83" s="138"/>
      <c r="K83" s="138"/>
      <c r="L83" s="138"/>
      <c r="M83" s="146"/>
      <c r="N83" s="131"/>
    </row>
    <row r="84" spans="2:14" x14ac:dyDescent="0.3">
      <c r="B84" s="141" t="s">
        <v>179</v>
      </c>
      <c r="C84" s="138"/>
      <c r="D84" s="138"/>
      <c r="E84" s="138"/>
      <c r="F84" s="138"/>
      <c r="G84" s="138"/>
      <c r="H84" s="138"/>
      <c r="I84" s="138"/>
      <c r="J84" s="138"/>
      <c r="K84" s="138"/>
      <c r="L84" s="138"/>
      <c r="M84" s="146"/>
      <c r="N84" s="131"/>
    </row>
    <row r="85" spans="2:14" x14ac:dyDescent="0.3">
      <c r="B85" s="141"/>
      <c r="C85" s="138"/>
      <c r="D85" s="138"/>
      <c r="E85" s="138"/>
      <c r="F85" s="138"/>
      <c r="G85" s="138"/>
      <c r="H85" s="138"/>
      <c r="I85" s="138"/>
      <c r="J85" s="138"/>
      <c r="K85" s="138"/>
      <c r="L85" s="138"/>
      <c r="M85" s="146"/>
      <c r="N85" s="131"/>
    </row>
    <row r="86" spans="2:14" ht="31.5" customHeight="1" x14ac:dyDescent="0.3">
      <c r="B86" s="252" t="s">
        <v>192</v>
      </c>
      <c r="C86" s="253"/>
      <c r="D86" s="253"/>
      <c r="E86" s="253"/>
      <c r="F86" s="253"/>
      <c r="G86" s="253"/>
      <c r="H86" s="253"/>
      <c r="I86" s="253"/>
      <c r="J86" s="253"/>
      <c r="K86" s="253"/>
      <c r="L86" s="253"/>
      <c r="M86" s="253"/>
      <c r="N86" s="131"/>
    </row>
    <row r="87" spans="2:14" x14ac:dyDescent="0.3">
      <c r="B87" s="141" t="s">
        <v>242</v>
      </c>
      <c r="C87" s="138"/>
      <c r="D87" s="265" t="s">
        <v>150</v>
      </c>
      <c r="E87" s="265"/>
      <c r="F87" s="265"/>
      <c r="G87" s="265"/>
      <c r="H87" s="265"/>
      <c r="I87" s="138"/>
      <c r="J87" s="138"/>
      <c r="K87" s="138"/>
      <c r="L87" s="138"/>
      <c r="M87" s="146"/>
      <c r="N87" s="131"/>
    </row>
    <row r="88" spans="2:14" x14ac:dyDescent="0.3">
      <c r="B88" s="141" t="s">
        <v>180</v>
      </c>
      <c r="C88" s="138"/>
      <c r="D88" s="138"/>
      <c r="E88" s="138"/>
      <c r="F88" s="138"/>
      <c r="G88" s="138"/>
      <c r="H88" s="138"/>
      <c r="I88" s="138"/>
      <c r="J88" s="138"/>
      <c r="K88" s="138"/>
      <c r="L88" s="138"/>
      <c r="M88" s="146"/>
      <c r="N88" s="131"/>
    </row>
    <row r="89" spans="2:14" ht="28.5" customHeight="1" x14ac:dyDescent="0.3">
      <c r="B89" s="260" t="s">
        <v>181</v>
      </c>
      <c r="C89" s="261"/>
      <c r="D89" s="261"/>
      <c r="E89" s="261"/>
      <c r="F89" s="261"/>
      <c r="G89" s="261"/>
      <c r="H89" s="261"/>
      <c r="I89" s="261"/>
      <c r="J89" s="261"/>
      <c r="K89" s="261"/>
      <c r="L89" s="261"/>
      <c r="M89" s="261"/>
      <c r="N89" s="131"/>
    </row>
    <row r="90" spans="2:14" ht="30" customHeight="1" x14ac:dyDescent="0.3">
      <c r="B90" s="260" t="s">
        <v>182</v>
      </c>
      <c r="C90" s="261"/>
      <c r="D90" s="261"/>
      <c r="E90" s="261"/>
      <c r="F90" s="261"/>
      <c r="G90" s="261"/>
      <c r="H90" s="261"/>
      <c r="I90" s="261"/>
      <c r="J90" s="261"/>
      <c r="K90" s="261"/>
      <c r="L90" s="261"/>
      <c r="M90" s="261"/>
      <c r="N90" s="131"/>
    </row>
    <row r="91" spans="2:14" ht="33.75" customHeight="1" x14ac:dyDescent="0.3">
      <c r="B91" s="260" t="s">
        <v>183</v>
      </c>
      <c r="C91" s="261"/>
      <c r="D91" s="261"/>
      <c r="E91" s="261"/>
      <c r="F91" s="261"/>
      <c r="G91" s="261"/>
      <c r="H91" s="261"/>
      <c r="I91" s="261"/>
      <c r="J91" s="261"/>
      <c r="K91" s="261"/>
      <c r="L91" s="261"/>
      <c r="M91" s="261"/>
      <c r="N91" s="131"/>
    </row>
    <row r="92" spans="2:14" x14ac:dyDescent="0.3">
      <c r="B92" s="141"/>
      <c r="C92" s="138"/>
      <c r="D92" s="138"/>
      <c r="E92" s="138"/>
      <c r="F92" s="138"/>
      <c r="G92" s="138"/>
      <c r="H92" s="138"/>
      <c r="I92" s="138"/>
      <c r="J92" s="138"/>
      <c r="K92" s="138"/>
      <c r="L92" s="138"/>
      <c r="M92" s="146"/>
      <c r="N92" s="131"/>
    </row>
    <row r="93" spans="2:14" x14ac:dyDescent="0.3">
      <c r="B93" s="252" t="s">
        <v>193</v>
      </c>
      <c r="C93" s="253"/>
      <c r="D93" s="253"/>
      <c r="E93" s="253"/>
      <c r="F93" s="253"/>
      <c r="G93" s="253"/>
      <c r="H93" s="253"/>
      <c r="I93" s="253"/>
      <c r="J93" s="253"/>
      <c r="K93" s="253"/>
      <c r="L93" s="253"/>
      <c r="M93" s="253"/>
      <c r="N93" s="264"/>
    </row>
    <row r="94" spans="2:14" x14ac:dyDescent="0.3">
      <c r="B94" s="141" t="s">
        <v>244</v>
      </c>
      <c r="C94" s="138"/>
      <c r="D94" s="265" t="s">
        <v>151</v>
      </c>
      <c r="E94" s="265"/>
      <c r="F94" s="265"/>
      <c r="G94" s="265"/>
      <c r="H94" s="265"/>
      <c r="I94" s="265"/>
      <c r="J94" s="265"/>
      <c r="K94" s="138"/>
      <c r="L94" s="138"/>
      <c r="M94" s="146"/>
      <c r="N94" s="131"/>
    </row>
    <row r="95" spans="2:14" x14ac:dyDescent="0.3">
      <c r="B95" s="258" t="s">
        <v>184</v>
      </c>
      <c r="C95" s="259"/>
      <c r="D95" s="259"/>
      <c r="E95" s="259"/>
      <c r="F95" s="259"/>
      <c r="G95" s="259"/>
      <c r="H95" s="259"/>
      <c r="I95" s="259"/>
      <c r="J95" s="259"/>
      <c r="K95" s="259"/>
      <c r="L95" s="259"/>
      <c r="M95" s="259"/>
      <c r="N95" s="131"/>
    </row>
    <row r="96" spans="2:14" ht="18.75" customHeight="1" x14ac:dyDescent="0.3">
      <c r="B96" s="260" t="s">
        <v>225</v>
      </c>
      <c r="C96" s="261"/>
      <c r="D96" s="261"/>
      <c r="E96" s="261"/>
      <c r="F96" s="261"/>
      <c r="G96" s="261"/>
      <c r="H96" s="261"/>
      <c r="I96" s="261"/>
      <c r="J96" s="261"/>
      <c r="K96" s="261"/>
      <c r="L96" s="261"/>
      <c r="M96" s="261"/>
      <c r="N96" s="131"/>
    </row>
    <row r="97" spans="1:14" x14ac:dyDescent="0.3">
      <c r="B97" s="258" t="s">
        <v>185</v>
      </c>
      <c r="C97" s="259"/>
      <c r="D97" s="259"/>
      <c r="E97" s="259"/>
      <c r="F97" s="259"/>
      <c r="G97" s="259"/>
      <c r="H97" s="259"/>
      <c r="I97" s="259"/>
      <c r="J97" s="259"/>
      <c r="K97" s="259"/>
      <c r="L97" s="259"/>
      <c r="M97" s="259"/>
      <c r="N97" s="131"/>
    </row>
    <row r="98" spans="1:14" ht="15" thickBot="1" x14ac:dyDescent="0.35">
      <c r="B98" s="142"/>
      <c r="C98" s="143"/>
      <c r="D98" s="143"/>
      <c r="E98" s="143"/>
      <c r="F98" s="143"/>
      <c r="G98" s="143"/>
      <c r="H98" s="143"/>
      <c r="I98" s="143"/>
      <c r="J98" s="143"/>
      <c r="K98" s="143"/>
      <c r="L98" s="143"/>
      <c r="M98" s="143"/>
      <c r="N98" s="131"/>
    </row>
    <row r="99" spans="1:14" ht="15" thickTop="1" x14ac:dyDescent="0.3">
      <c r="B99" s="162"/>
      <c r="C99" s="163"/>
      <c r="D99" s="163"/>
      <c r="E99" s="163"/>
      <c r="F99" s="163"/>
      <c r="G99" s="163"/>
      <c r="H99" s="163"/>
      <c r="I99" s="163"/>
      <c r="J99" s="163"/>
      <c r="K99" s="163"/>
      <c r="L99" s="163"/>
      <c r="M99" s="163"/>
      <c r="N99" s="164"/>
    </row>
    <row r="100" spans="1:14" x14ac:dyDescent="0.3">
      <c r="A100" s="165"/>
      <c r="B100" s="163"/>
      <c r="C100" s="163"/>
      <c r="D100" s="163"/>
      <c r="E100" s="163"/>
      <c r="F100" s="163"/>
      <c r="G100" s="163"/>
      <c r="H100" s="163"/>
      <c r="I100" s="163"/>
      <c r="J100" s="163"/>
      <c r="K100" s="163"/>
      <c r="L100" s="163"/>
      <c r="M100" s="163"/>
    </row>
    <row r="101" spans="1:14" x14ac:dyDescent="0.3">
      <c r="A101" s="165"/>
      <c r="B101" s="163"/>
      <c r="C101" s="163"/>
      <c r="D101" s="163"/>
      <c r="E101" s="163"/>
      <c r="F101" s="163"/>
      <c r="G101" s="163"/>
      <c r="H101" s="163"/>
      <c r="I101" s="163"/>
      <c r="J101" s="163"/>
      <c r="K101" s="163"/>
      <c r="L101" s="163"/>
      <c r="M101" s="163"/>
    </row>
    <row r="102" spans="1:14" x14ac:dyDescent="0.3">
      <c r="A102" s="165"/>
      <c r="B102" s="163"/>
      <c r="C102" s="163"/>
      <c r="D102" s="163"/>
      <c r="E102" s="163"/>
      <c r="F102" s="163"/>
      <c r="G102" s="163"/>
      <c r="H102" s="163"/>
      <c r="I102" s="163"/>
      <c r="J102" s="163"/>
      <c r="K102" s="163"/>
      <c r="L102" s="163"/>
      <c r="M102" s="163"/>
    </row>
    <row r="103" spans="1:14" x14ac:dyDescent="0.3">
      <c r="A103" s="165"/>
      <c r="B103" s="163"/>
      <c r="C103" s="163"/>
      <c r="D103" s="163"/>
      <c r="E103" s="163"/>
      <c r="F103" s="163"/>
      <c r="G103" s="163"/>
      <c r="H103" s="163"/>
      <c r="I103" s="163"/>
      <c r="J103" s="163"/>
      <c r="K103" s="163"/>
      <c r="L103" s="163"/>
      <c r="M103" s="163"/>
    </row>
    <row r="104" spans="1:14" x14ac:dyDescent="0.3">
      <c r="A104" s="165"/>
      <c r="B104" s="163"/>
      <c r="C104" s="163"/>
      <c r="D104" s="163"/>
      <c r="E104" s="163"/>
      <c r="F104" s="163"/>
      <c r="G104" s="163"/>
      <c r="H104" s="163"/>
      <c r="I104" s="163"/>
      <c r="J104" s="163"/>
      <c r="K104" s="163"/>
      <c r="L104" s="163"/>
      <c r="M104" s="163"/>
    </row>
    <row r="105" spans="1:14" x14ac:dyDescent="0.3">
      <c r="B105" s="163"/>
      <c r="C105" s="163"/>
      <c r="D105" s="163"/>
      <c r="E105" s="163"/>
      <c r="F105" s="163"/>
      <c r="G105" s="163"/>
      <c r="H105" s="163"/>
      <c r="I105" s="163"/>
      <c r="J105" s="163"/>
      <c r="K105" s="163"/>
      <c r="L105" s="163"/>
      <c r="M105" s="163"/>
    </row>
    <row r="106" spans="1:14" x14ac:dyDescent="0.3">
      <c r="B106" s="163"/>
      <c r="C106" s="163"/>
      <c r="D106" s="163"/>
      <c r="E106" s="163"/>
      <c r="F106" s="163"/>
      <c r="G106" s="163"/>
      <c r="H106" s="163"/>
      <c r="I106" s="163"/>
      <c r="J106" s="163"/>
      <c r="K106" s="163"/>
      <c r="L106" s="163"/>
      <c r="M106" s="163"/>
    </row>
    <row r="107" spans="1:14" x14ac:dyDescent="0.3">
      <c r="B107" s="163"/>
      <c r="C107" s="163"/>
      <c r="D107" s="163"/>
      <c r="E107" s="163"/>
      <c r="F107" s="163"/>
      <c r="G107" s="163"/>
      <c r="H107" s="163"/>
      <c r="I107" s="163"/>
      <c r="J107" s="163"/>
      <c r="K107" s="163"/>
      <c r="L107" s="163"/>
      <c r="M107" s="163"/>
    </row>
    <row r="108" spans="1:14" x14ac:dyDescent="0.3">
      <c r="B108" s="163"/>
      <c r="C108" s="163"/>
      <c r="D108" s="163"/>
      <c r="E108" s="163"/>
      <c r="F108" s="163"/>
      <c r="G108" s="163"/>
      <c r="H108" s="163"/>
      <c r="I108" s="163"/>
      <c r="J108" s="163"/>
      <c r="K108" s="163"/>
      <c r="L108" s="163"/>
      <c r="M108" s="163"/>
    </row>
    <row r="109" spans="1:14" x14ac:dyDescent="0.3">
      <c r="B109" s="163"/>
      <c r="C109" s="163"/>
      <c r="D109" s="163"/>
      <c r="E109" s="163"/>
      <c r="F109" s="163"/>
      <c r="G109" s="163"/>
      <c r="H109" s="163"/>
      <c r="I109" s="163"/>
      <c r="J109" s="163"/>
      <c r="K109" s="163"/>
      <c r="L109" s="163"/>
      <c r="M109" s="163"/>
    </row>
    <row r="110" spans="1:14" x14ac:dyDescent="0.3">
      <c r="B110" s="163"/>
      <c r="C110" s="163"/>
      <c r="D110" s="163"/>
      <c r="E110" s="163"/>
      <c r="F110" s="163"/>
      <c r="G110" s="163"/>
      <c r="H110" s="163"/>
      <c r="I110" s="163"/>
      <c r="J110" s="163"/>
      <c r="K110" s="163"/>
      <c r="L110" s="163"/>
      <c r="M110" s="163"/>
    </row>
    <row r="111" spans="1:14" x14ac:dyDescent="0.3">
      <c r="B111" s="163"/>
      <c r="C111" s="163"/>
      <c r="D111" s="163"/>
      <c r="E111" s="163"/>
      <c r="F111" s="163"/>
      <c r="G111" s="163"/>
      <c r="H111" s="163"/>
      <c r="I111" s="163"/>
      <c r="J111" s="163"/>
      <c r="K111" s="163"/>
      <c r="L111" s="163"/>
      <c r="M111" s="163"/>
    </row>
    <row r="112" spans="1:14" x14ac:dyDescent="0.3">
      <c r="B112" s="163"/>
      <c r="C112" s="163"/>
      <c r="D112" s="163"/>
      <c r="E112" s="163"/>
      <c r="F112" s="163"/>
      <c r="G112" s="163"/>
      <c r="H112" s="163"/>
      <c r="I112" s="163"/>
      <c r="J112" s="163"/>
      <c r="K112" s="163"/>
      <c r="L112" s="163"/>
      <c r="M112" s="163"/>
    </row>
    <row r="113" spans="2:13" x14ac:dyDescent="0.3">
      <c r="B113" s="163"/>
      <c r="C113" s="163"/>
      <c r="D113" s="163"/>
      <c r="E113" s="163"/>
      <c r="F113" s="163"/>
      <c r="G113" s="163"/>
      <c r="H113" s="163"/>
      <c r="I113" s="163"/>
      <c r="J113" s="163"/>
      <c r="K113" s="163"/>
      <c r="L113" s="163"/>
      <c r="M113" s="163"/>
    </row>
    <row r="114" spans="2:13" x14ac:dyDescent="0.3">
      <c r="B114" s="163"/>
      <c r="C114" s="163"/>
      <c r="D114" s="163"/>
      <c r="E114" s="163"/>
      <c r="F114" s="163"/>
      <c r="G114" s="163"/>
      <c r="H114" s="163"/>
      <c r="I114" s="163"/>
      <c r="J114" s="163"/>
      <c r="K114" s="163"/>
      <c r="L114" s="163"/>
      <c r="M114" s="163"/>
    </row>
    <row r="115" spans="2:13" x14ac:dyDescent="0.3">
      <c r="B115" s="163"/>
      <c r="C115" s="163"/>
      <c r="D115" s="163"/>
      <c r="E115" s="163"/>
      <c r="F115" s="163"/>
      <c r="G115" s="163"/>
      <c r="H115" s="163"/>
      <c r="I115" s="163"/>
      <c r="J115" s="163"/>
      <c r="K115" s="163"/>
      <c r="L115" s="163"/>
      <c r="M115" s="163"/>
    </row>
    <row r="116" spans="2:13" x14ac:dyDescent="0.3">
      <c r="B116" s="163"/>
      <c r="C116" s="163"/>
      <c r="D116" s="163"/>
      <c r="E116" s="163"/>
      <c r="F116" s="163"/>
      <c r="G116" s="163"/>
      <c r="H116" s="163"/>
      <c r="I116" s="163"/>
      <c r="J116" s="163"/>
      <c r="K116" s="163"/>
      <c r="L116" s="163"/>
      <c r="M116" s="163"/>
    </row>
    <row r="117" spans="2:13" x14ac:dyDescent="0.3">
      <c r="B117" s="163"/>
      <c r="C117" s="163"/>
      <c r="D117" s="163"/>
      <c r="E117" s="163"/>
      <c r="F117" s="163"/>
      <c r="G117" s="163"/>
      <c r="H117" s="163"/>
      <c r="I117" s="163"/>
      <c r="J117" s="163"/>
      <c r="K117" s="163"/>
      <c r="L117" s="163"/>
      <c r="M117" s="163"/>
    </row>
    <row r="118" spans="2:13" x14ac:dyDescent="0.3">
      <c r="B118" s="163"/>
      <c r="C118" s="163"/>
      <c r="D118" s="163"/>
      <c r="E118" s="163"/>
      <c r="F118" s="163"/>
      <c r="G118" s="163"/>
      <c r="H118" s="163"/>
      <c r="I118" s="163"/>
      <c r="J118" s="163"/>
      <c r="K118" s="163"/>
      <c r="L118" s="163"/>
      <c r="M118" s="163"/>
    </row>
    <row r="119" spans="2:13" x14ac:dyDescent="0.3">
      <c r="B119" s="163"/>
      <c r="C119" s="163"/>
      <c r="D119" s="163"/>
      <c r="E119" s="163"/>
      <c r="F119" s="163"/>
      <c r="G119" s="163"/>
      <c r="H119" s="163"/>
      <c r="I119" s="163"/>
      <c r="J119" s="163"/>
      <c r="K119" s="163"/>
      <c r="L119" s="163"/>
      <c r="M119" s="163"/>
    </row>
    <row r="120" spans="2:13" x14ac:dyDescent="0.3">
      <c r="B120" s="163"/>
      <c r="C120" s="163"/>
      <c r="D120" s="163"/>
      <c r="E120" s="163"/>
      <c r="F120" s="163"/>
      <c r="G120" s="163"/>
      <c r="H120" s="163"/>
      <c r="I120" s="163"/>
      <c r="J120" s="163"/>
      <c r="K120" s="163"/>
      <c r="L120" s="163"/>
      <c r="M120" s="163"/>
    </row>
    <row r="121" spans="2:13" x14ac:dyDescent="0.3">
      <c r="B121" s="163"/>
      <c r="C121" s="163"/>
      <c r="D121" s="163"/>
      <c r="E121" s="163"/>
      <c r="F121" s="163"/>
      <c r="G121" s="163"/>
      <c r="H121" s="163"/>
      <c r="I121" s="163"/>
      <c r="J121" s="163"/>
      <c r="K121" s="163"/>
      <c r="L121" s="163"/>
      <c r="M121" s="163"/>
    </row>
    <row r="122" spans="2:13" x14ac:dyDescent="0.3">
      <c r="B122" s="163"/>
      <c r="C122" s="163"/>
      <c r="D122" s="163"/>
      <c r="E122" s="163"/>
      <c r="F122" s="163"/>
      <c r="G122" s="163"/>
      <c r="H122" s="163"/>
      <c r="I122" s="163"/>
      <c r="J122" s="163"/>
      <c r="K122" s="163"/>
      <c r="L122" s="163"/>
      <c r="M122" s="163"/>
    </row>
    <row r="123" spans="2:13" x14ac:dyDescent="0.3">
      <c r="B123" s="163"/>
      <c r="C123" s="163"/>
      <c r="D123" s="163"/>
      <c r="E123" s="163"/>
      <c r="F123" s="163"/>
      <c r="G123" s="163"/>
      <c r="H123" s="163"/>
      <c r="I123" s="163"/>
      <c r="J123" s="163"/>
      <c r="K123" s="163"/>
      <c r="L123" s="163"/>
      <c r="M123" s="163"/>
    </row>
    <row r="124" spans="2:13" x14ac:dyDescent="0.3">
      <c r="B124" s="163"/>
      <c r="C124" s="163"/>
      <c r="D124" s="163"/>
      <c r="E124" s="163"/>
      <c r="F124" s="163"/>
      <c r="G124" s="163"/>
      <c r="H124" s="163"/>
      <c r="I124" s="163"/>
      <c r="J124" s="163"/>
      <c r="K124" s="163"/>
      <c r="L124" s="163"/>
      <c r="M124" s="163"/>
    </row>
    <row r="125" spans="2:13" x14ac:dyDescent="0.3">
      <c r="B125" s="163"/>
      <c r="C125" s="163"/>
      <c r="D125" s="163"/>
      <c r="E125" s="163"/>
      <c r="F125" s="163"/>
      <c r="G125" s="163"/>
      <c r="H125" s="163"/>
      <c r="I125" s="163"/>
      <c r="J125" s="163"/>
      <c r="K125" s="163"/>
      <c r="L125" s="163"/>
      <c r="M125" s="163"/>
    </row>
    <row r="126" spans="2:13" x14ac:dyDescent="0.3">
      <c r="B126" s="163"/>
      <c r="C126" s="163"/>
      <c r="D126" s="163"/>
      <c r="E126" s="163"/>
      <c r="F126" s="163"/>
      <c r="G126" s="163"/>
      <c r="H126" s="163"/>
      <c r="I126" s="163"/>
      <c r="J126" s="163"/>
      <c r="K126" s="163"/>
      <c r="L126" s="163"/>
      <c r="M126" s="163"/>
    </row>
    <row r="127" spans="2:13" x14ac:dyDescent="0.3">
      <c r="B127" s="163"/>
      <c r="C127" s="163"/>
      <c r="D127" s="163"/>
      <c r="E127" s="163"/>
      <c r="F127" s="163"/>
      <c r="G127" s="163"/>
      <c r="H127" s="163"/>
      <c r="I127" s="163"/>
      <c r="J127" s="163"/>
      <c r="K127" s="163"/>
      <c r="L127" s="163"/>
      <c r="M127" s="163"/>
    </row>
    <row r="128" spans="2:13" x14ac:dyDescent="0.3">
      <c r="B128" s="163"/>
      <c r="C128" s="163"/>
      <c r="D128" s="163"/>
      <c r="E128" s="163"/>
      <c r="F128" s="163"/>
      <c r="G128" s="163"/>
      <c r="H128" s="163"/>
      <c r="I128" s="163"/>
      <c r="J128" s="163"/>
      <c r="K128" s="163"/>
      <c r="L128" s="163"/>
      <c r="M128" s="163"/>
    </row>
    <row r="129" spans="2:13" x14ac:dyDescent="0.3">
      <c r="B129" s="163"/>
      <c r="C129" s="163"/>
      <c r="D129" s="163"/>
      <c r="E129" s="163"/>
      <c r="F129" s="163"/>
      <c r="G129" s="163"/>
      <c r="H129" s="163"/>
      <c r="I129" s="163"/>
      <c r="J129" s="163"/>
      <c r="K129" s="163"/>
      <c r="L129" s="163"/>
      <c r="M129" s="163"/>
    </row>
    <row r="130" spans="2:13" x14ac:dyDescent="0.3">
      <c r="B130" s="163"/>
      <c r="C130" s="163"/>
      <c r="D130" s="163"/>
      <c r="E130" s="163"/>
      <c r="F130" s="163"/>
      <c r="G130" s="163"/>
      <c r="H130" s="163"/>
      <c r="I130" s="163"/>
      <c r="J130" s="163"/>
      <c r="K130" s="163"/>
      <c r="L130" s="163"/>
      <c r="M130" s="163"/>
    </row>
    <row r="131" spans="2:13" x14ac:dyDescent="0.3">
      <c r="B131" s="163"/>
      <c r="C131" s="163"/>
      <c r="D131" s="163"/>
      <c r="E131" s="163"/>
      <c r="F131" s="163"/>
      <c r="G131" s="163"/>
      <c r="H131" s="163"/>
      <c r="I131" s="163"/>
      <c r="J131" s="163"/>
      <c r="K131" s="163"/>
      <c r="L131" s="163"/>
      <c r="M131" s="163"/>
    </row>
    <row r="132" spans="2:13" x14ac:dyDescent="0.3">
      <c r="B132" s="163"/>
      <c r="C132" s="163"/>
      <c r="D132" s="163"/>
      <c r="E132" s="163"/>
      <c r="F132" s="163"/>
      <c r="G132" s="163"/>
      <c r="H132" s="163"/>
      <c r="I132" s="163"/>
      <c r="J132" s="163"/>
      <c r="K132" s="163"/>
      <c r="L132" s="163"/>
      <c r="M132" s="163"/>
    </row>
    <row r="133" spans="2:13" x14ac:dyDescent="0.3">
      <c r="B133" s="163"/>
      <c r="C133" s="163"/>
      <c r="D133" s="163"/>
      <c r="E133" s="163"/>
      <c r="F133" s="163"/>
      <c r="G133" s="163"/>
      <c r="H133" s="163"/>
      <c r="I133" s="163"/>
      <c r="J133" s="163"/>
      <c r="K133" s="163"/>
      <c r="L133" s="163"/>
      <c r="M133" s="163"/>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A2:N16"/>
  <sheetViews>
    <sheetView showRowColHeaders="0" tabSelected="1" zoomScaleNormal="100" workbookViewId="0">
      <selection activeCell="D7" sqref="D7:K7"/>
    </sheetView>
  </sheetViews>
  <sheetFormatPr defaultColWidth="9.109375" defaultRowHeight="14.4" x14ac:dyDescent="0.3"/>
  <cols>
    <col min="1" max="1" width="9.109375" style="160"/>
    <col min="2" max="2" width="3.6640625" style="160" customWidth="1"/>
    <col min="3" max="3" width="30.5546875" style="160" customWidth="1"/>
    <col min="4" max="4" width="11.33203125" style="160" bestFit="1" customWidth="1"/>
    <col min="5" max="10" width="9.109375" style="160"/>
    <col min="11" max="11" width="10.33203125" style="160" customWidth="1"/>
    <col min="12" max="12" width="4.109375" style="160" customWidth="1"/>
    <col min="13" max="16384" width="9.109375" style="160"/>
  </cols>
  <sheetData>
    <row r="2" spans="1:14" ht="15" thickBot="1" x14ac:dyDescent="0.35"/>
    <row r="3" spans="1:14" ht="15.75" customHeight="1" thickTop="1" x14ac:dyDescent="0.3">
      <c r="B3" s="236" t="s">
        <v>227</v>
      </c>
      <c r="C3" s="237"/>
      <c r="D3" s="237"/>
      <c r="E3" s="237"/>
      <c r="F3" s="237"/>
      <c r="G3" s="237"/>
      <c r="H3" s="237"/>
      <c r="I3" s="237"/>
      <c r="J3" s="237"/>
      <c r="K3" s="237"/>
      <c r="L3" s="238"/>
    </row>
    <row r="4" spans="1:14" ht="15" customHeight="1" x14ac:dyDescent="0.3">
      <c r="B4" s="239"/>
      <c r="C4" s="240"/>
      <c r="D4" s="240"/>
      <c r="E4" s="240"/>
      <c r="F4" s="240"/>
      <c r="G4" s="240"/>
      <c r="H4" s="240"/>
      <c r="I4" s="240"/>
      <c r="J4" s="240"/>
      <c r="K4" s="240"/>
      <c r="L4" s="241"/>
    </row>
    <row r="5" spans="1:14" ht="15" customHeight="1" x14ac:dyDescent="0.3">
      <c r="B5" s="239"/>
      <c r="C5" s="240"/>
      <c r="D5" s="240"/>
      <c r="E5" s="240"/>
      <c r="F5" s="240"/>
      <c r="G5" s="240"/>
      <c r="H5" s="240"/>
      <c r="I5" s="240"/>
      <c r="J5" s="240"/>
      <c r="K5" s="240"/>
      <c r="L5" s="241"/>
    </row>
    <row r="6" spans="1:14" ht="21" customHeight="1" x14ac:dyDescent="0.3">
      <c r="B6" s="154"/>
      <c r="C6" s="172"/>
      <c r="D6" s="172"/>
      <c r="E6" s="172"/>
      <c r="F6" s="172"/>
      <c r="G6" s="172"/>
      <c r="H6" s="172"/>
      <c r="I6" s="172"/>
      <c r="J6" s="172"/>
      <c r="K6" s="172"/>
      <c r="L6" s="131"/>
    </row>
    <row r="7" spans="1:14" ht="18.600000000000001" thickBot="1" x14ac:dyDescent="0.35">
      <c r="A7" s="165"/>
      <c r="B7" s="154"/>
      <c r="C7" s="74" t="s">
        <v>138</v>
      </c>
      <c r="D7" s="268">
        <v>44895</v>
      </c>
      <c r="E7" s="268"/>
      <c r="F7" s="268"/>
      <c r="G7" s="268"/>
      <c r="H7" s="268"/>
      <c r="I7" s="268"/>
      <c r="J7" s="268"/>
      <c r="K7" s="268"/>
      <c r="L7" s="174"/>
      <c r="M7" s="169"/>
      <c r="N7" s="165"/>
    </row>
    <row r="8" spans="1:14" ht="35.25" customHeight="1" thickBot="1" x14ac:dyDescent="0.35">
      <c r="A8" s="165"/>
      <c r="B8" s="154"/>
      <c r="C8" s="59" t="s">
        <v>69</v>
      </c>
      <c r="D8" s="269" t="s">
        <v>251</v>
      </c>
      <c r="E8" s="269"/>
      <c r="F8" s="269"/>
      <c r="G8" s="269"/>
      <c r="H8" s="269"/>
      <c r="I8" s="269"/>
      <c r="J8" s="269"/>
      <c r="K8" s="269"/>
      <c r="L8" s="173"/>
      <c r="M8" s="165"/>
    </row>
    <row r="9" spans="1:14" ht="39.75" customHeight="1" thickBot="1" x14ac:dyDescent="0.35">
      <c r="A9" s="165"/>
      <c r="B9" s="154"/>
      <c r="C9" s="177" t="s">
        <v>67</v>
      </c>
      <c r="D9" s="269" t="s">
        <v>252</v>
      </c>
      <c r="E9" s="269"/>
      <c r="F9" s="269"/>
      <c r="G9" s="269"/>
      <c r="H9" s="269"/>
      <c r="I9" s="269"/>
      <c r="J9" s="269"/>
      <c r="K9" s="269"/>
      <c r="L9" s="175"/>
    </row>
    <row r="10" spans="1:14" ht="97.5" customHeight="1" x14ac:dyDescent="0.3">
      <c r="A10" s="165"/>
      <c r="B10" s="154"/>
      <c r="C10" s="178" t="s">
        <v>68</v>
      </c>
      <c r="D10" s="270" t="s">
        <v>253</v>
      </c>
      <c r="E10" s="270"/>
      <c r="F10" s="270"/>
      <c r="G10" s="270"/>
      <c r="H10" s="270"/>
      <c r="I10" s="270"/>
      <c r="J10" s="270"/>
      <c r="K10" s="270"/>
      <c r="L10" s="175"/>
    </row>
    <row r="11" spans="1:14" ht="18.75" customHeight="1" thickBot="1" x14ac:dyDescent="0.35">
      <c r="A11" s="165"/>
      <c r="B11" s="176"/>
      <c r="C11" s="157"/>
      <c r="D11" s="157"/>
      <c r="E11" s="157"/>
      <c r="F11" s="157"/>
      <c r="G11" s="157"/>
      <c r="H11" s="157"/>
      <c r="I11" s="157"/>
      <c r="J11" s="157"/>
      <c r="K11" s="157"/>
      <c r="L11" s="158"/>
    </row>
    <row r="12" spans="1:14" ht="15" thickTop="1" x14ac:dyDescent="0.3">
      <c r="A12" s="165"/>
      <c r="B12" s="165"/>
      <c r="C12" s="165"/>
      <c r="D12" s="165"/>
      <c r="E12" s="165"/>
      <c r="F12" s="165"/>
    </row>
    <row r="13" spans="1:14" x14ac:dyDescent="0.3">
      <c r="A13" s="165"/>
      <c r="B13" s="165"/>
      <c r="C13" s="165"/>
      <c r="D13" s="165"/>
      <c r="E13" s="165"/>
      <c r="F13" s="165"/>
    </row>
    <row r="14" spans="1:14" x14ac:dyDescent="0.3">
      <c r="A14" s="165"/>
      <c r="B14" s="165"/>
      <c r="C14" s="165"/>
      <c r="D14" s="165"/>
      <c r="E14" s="165"/>
      <c r="F14" s="165"/>
    </row>
    <row r="15" spans="1:14" x14ac:dyDescent="0.3">
      <c r="A15" s="165"/>
      <c r="B15" s="165"/>
      <c r="C15" s="165"/>
      <c r="D15" s="165"/>
      <c r="E15" s="165"/>
      <c r="F15" s="165"/>
    </row>
    <row r="16" spans="1:14" x14ac:dyDescent="0.3">
      <c r="A16" s="165"/>
      <c r="B16" s="165"/>
      <c r="C16" s="165"/>
      <c r="D16" s="165"/>
      <c r="E16" s="165"/>
      <c r="F16" s="165"/>
    </row>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9" zoomScaleNormal="100" workbookViewId="0">
      <selection activeCell="D11" sqref="D11"/>
    </sheetView>
  </sheetViews>
  <sheetFormatPr defaultColWidth="9.109375" defaultRowHeight="14.4" x14ac:dyDescent="0.3"/>
  <cols>
    <col min="1" max="1" width="9.33203125" style="185" customWidth="1"/>
    <col min="2" max="2" width="4.88671875" style="185" customWidth="1"/>
    <col min="3" max="3" width="33.33203125" style="185" customWidth="1"/>
    <col min="4" max="4" width="26.88671875" style="185" customWidth="1"/>
    <col min="5" max="5" width="11.44140625" style="185" customWidth="1"/>
    <col min="6" max="6" width="17.44140625" style="185" customWidth="1"/>
    <col min="7" max="7" width="33.33203125" style="185" customWidth="1"/>
    <col min="8" max="8" width="14.109375" style="185" customWidth="1"/>
    <col min="9" max="9" width="9" style="185" customWidth="1"/>
    <col min="10" max="10" width="2" style="185" customWidth="1"/>
    <col min="11" max="11" width="7.109375" style="185" customWidth="1"/>
    <col min="12" max="16384" width="9.109375" style="185"/>
  </cols>
  <sheetData>
    <row r="3" spans="1:12" x14ac:dyDescent="0.3">
      <c r="A3" s="190"/>
      <c r="B3" s="271" t="s">
        <v>206</v>
      </c>
      <c r="C3" s="272"/>
      <c r="D3" s="272"/>
      <c r="E3" s="272"/>
      <c r="F3" s="272"/>
      <c r="G3" s="272"/>
      <c r="H3" s="272"/>
      <c r="I3" s="272"/>
      <c r="J3" s="273"/>
    </row>
    <row r="4" spans="1:12" x14ac:dyDescent="0.3">
      <c r="A4" s="190"/>
      <c r="B4" s="271"/>
      <c r="C4" s="272"/>
      <c r="D4" s="272"/>
      <c r="E4" s="272"/>
      <c r="F4" s="272"/>
      <c r="G4" s="272"/>
      <c r="H4" s="272"/>
      <c r="I4" s="272"/>
      <c r="J4" s="273"/>
    </row>
    <row r="5" spans="1:12" x14ac:dyDescent="0.3">
      <c r="A5" s="190"/>
      <c r="B5" s="271"/>
      <c r="C5" s="272"/>
      <c r="D5" s="272"/>
      <c r="E5" s="272"/>
      <c r="F5" s="272"/>
      <c r="G5" s="272"/>
      <c r="H5" s="272"/>
      <c r="I5" s="272"/>
      <c r="J5" s="273"/>
      <c r="K5" s="186"/>
      <c r="L5" s="186"/>
    </row>
    <row r="6" spans="1:12" ht="18" x14ac:dyDescent="0.3">
      <c r="A6" s="190"/>
      <c r="B6" s="4"/>
      <c r="C6" s="1"/>
      <c r="D6" s="1"/>
      <c r="E6" s="1"/>
      <c r="F6" s="1"/>
      <c r="G6" s="1"/>
      <c r="H6" s="1"/>
      <c r="I6" s="1"/>
      <c r="J6" s="131"/>
      <c r="L6" s="187"/>
    </row>
    <row r="7" spans="1:12" ht="18" customHeight="1" x14ac:dyDescent="0.5">
      <c r="A7" s="190"/>
      <c r="B7" s="4"/>
      <c r="C7" s="276" t="s">
        <v>205</v>
      </c>
      <c r="D7" s="276"/>
      <c r="E7" s="1"/>
      <c r="F7" s="1"/>
      <c r="G7" s="5"/>
      <c r="H7" s="6"/>
      <c r="I7" s="6"/>
      <c r="J7" s="179"/>
      <c r="L7" s="188"/>
    </row>
    <row r="8" spans="1:12" ht="12" customHeight="1" x14ac:dyDescent="0.5">
      <c r="A8" s="190"/>
      <c r="B8" s="4"/>
      <c r="C8" s="1"/>
      <c r="D8" s="1"/>
      <c r="E8" s="1"/>
      <c r="F8" s="1"/>
      <c r="G8" s="3"/>
      <c r="H8" s="3"/>
      <c r="I8" s="3"/>
      <c r="J8" s="180"/>
      <c r="L8" s="188"/>
    </row>
    <row r="9" spans="1:12" ht="22.5" customHeight="1" thickBot="1" x14ac:dyDescent="0.55000000000000004">
      <c r="A9" s="190"/>
      <c r="B9" s="4"/>
      <c r="C9" s="72" t="s">
        <v>71</v>
      </c>
      <c r="D9" s="117">
        <v>44927</v>
      </c>
      <c r="E9" s="1"/>
      <c r="F9" s="1"/>
      <c r="G9" s="1"/>
      <c r="H9" s="86"/>
      <c r="I9" s="3"/>
      <c r="J9" s="180"/>
      <c r="L9" s="188"/>
    </row>
    <row r="10" spans="1:12" ht="21" customHeight="1" thickBot="1" x14ac:dyDescent="0.55000000000000004">
      <c r="A10" s="190"/>
      <c r="B10" s="4"/>
      <c r="C10" s="71" t="s">
        <v>72</v>
      </c>
      <c r="D10" s="118">
        <v>2.4</v>
      </c>
      <c r="E10" s="7"/>
      <c r="F10" s="7"/>
      <c r="G10" s="275"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6"/>
      <c r="I10" s="3"/>
      <c r="J10" s="180"/>
      <c r="K10" s="187"/>
      <c r="L10" s="189"/>
    </row>
    <row r="11" spans="1:12" ht="30.75" customHeight="1" thickBot="1" x14ac:dyDescent="0.35">
      <c r="A11" s="190"/>
      <c r="B11" s="4"/>
      <c r="C11" s="71" t="s">
        <v>97</v>
      </c>
      <c r="D11" s="119">
        <v>110</v>
      </c>
      <c r="E11" s="8"/>
      <c r="F11" s="8"/>
      <c r="G11" s="275"/>
      <c r="H11" s="86"/>
      <c r="I11" s="8"/>
      <c r="J11" s="173"/>
      <c r="K11" s="188"/>
      <c r="L11" s="189"/>
    </row>
    <row r="12" spans="1:12" ht="36" customHeight="1" thickBot="1" x14ac:dyDescent="0.35">
      <c r="A12" s="190"/>
      <c r="B12" s="1"/>
      <c r="C12" s="71" t="s">
        <v>237</v>
      </c>
      <c r="D12" s="120">
        <v>1</v>
      </c>
      <c r="E12" s="9"/>
      <c r="F12" s="9"/>
      <c r="G12" s="275"/>
      <c r="H12" s="86"/>
      <c r="I12" s="9"/>
      <c r="J12" s="175"/>
      <c r="K12" s="189"/>
    </row>
    <row r="13" spans="1:12" ht="50.25" customHeight="1" thickBot="1" x14ac:dyDescent="0.35">
      <c r="A13" s="190"/>
      <c r="B13" s="1"/>
      <c r="C13" s="73" t="s">
        <v>218</v>
      </c>
      <c r="D13" s="121" t="s">
        <v>100</v>
      </c>
      <c r="E13" s="9"/>
      <c r="F13" s="1"/>
      <c r="G13" s="275"/>
      <c r="H13" s="86"/>
      <c r="I13" s="9"/>
      <c r="J13" s="175"/>
      <c r="K13" s="189"/>
    </row>
    <row r="14" spans="1:12" ht="50.25" customHeight="1" thickBot="1" x14ac:dyDescent="0.35">
      <c r="A14" s="190"/>
      <c r="B14" s="1"/>
      <c r="C14" s="32" t="s">
        <v>219</v>
      </c>
      <c r="D14" s="84">
        <f>(IFERROR(IF(OR(D13="Package Treatment Plant user defined",D13="Septic Tank user defined"),"Please enter value in cell to the right:",IF('Stage 1'!D9&lt;DATE(2025,1,1),VLOOKUP('Stage 1'!D13,Lookups!C8:G16,2,FALSE),VLOOKUP('Stage 1'!D13,Lookups!C8:G15,4,FALSE))),""))</f>
        <v>1</v>
      </c>
      <c r="E14" s="122">
        <v>8</v>
      </c>
      <c r="F14" s="87" t="str">
        <f>IFERROR(IF(AND($D$9&lt;DATE(2025,1,1),(VLOOKUP($D$13,Lookups!$C$8:$G$13,2,FALSE))&gt;(VLOOKUP($D$13,Lookups!$C$8:$G$13,4,FALSE))), "Post 2025 WwTW P permit:",""),"")</f>
        <v>Post 2025 WwTW P permit:</v>
      </c>
      <c r="G14" s="89">
        <f>IFERROR(IF(AND($D$9&lt;DATE(2025,1,1),(VLOOKUP($D$13,Lookups!$C$8:$G$13,2,FALSE))&gt;(VLOOKUP($D$13,Lookups!$C$8:$G$13,4,FALSE))), VLOOKUP('Stage 1'!D13,Lookups!C8:G16,4,FALSE),""),"")</f>
        <v>0.6</v>
      </c>
      <c r="H14" s="27" t="str">
        <f>IFERROR(IF(AND($D$9&lt;DATE(2025,1,1),(VLOOKUP($D$13,Lookups!$C$8:$G$13,2,FALSE))&gt;(VLOOKUP($D$13,Lookups!$C$8:$G$13,4,FALSE))), "mg TP/litre",""),"")</f>
        <v>mg TP/litre</v>
      </c>
      <c r="I14" s="9"/>
      <c r="J14" s="131"/>
      <c r="K14" s="189"/>
    </row>
    <row r="15" spans="1:12" ht="50.25" customHeight="1" x14ac:dyDescent="0.3">
      <c r="A15" s="190"/>
      <c r="B15" s="1"/>
      <c r="C15" s="70" t="s">
        <v>220</v>
      </c>
      <c r="D15" s="85">
        <f>IFERROR(IF(OR(D13="Package Treatment Plant user defined",D13="Septic Tank user defined"),"Please enter value in cell to the right:",IF('Stage 1'!D9&lt;DATE(2025,1,1),VLOOKUP('Stage 1'!D13,Lookups!C8:G16, 3,FALSE), VLOOKUP('Stage 1'!D13,Lookups!C8:G15, 5,FALSE))),"")</f>
        <v>27</v>
      </c>
      <c r="E15" s="122">
        <v>10</v>
      </c>
      <c r="F15" s="88" t="str">
        <f>IFERROR(IF(AND($D$9&lt;DATE(2025,1,1),(VLOOKUP($D$13,Lookups!$C$8:$G$13,3,FALSE))&gt;(VLOOKUP($D$13,Lookups!$C$8:$G$13,5,FALSE))), "Post 2025 WwTW N permit:",""),"")</f>
        <v/>
      </c>
      <c r="G15" s="89" t="str">
        <f>IFERROR(IF(AND($D$9&lt;DATE(2025,1,1),(VLOOKUP($D$13,Lookups!$C$8:$G$13,3,FALSE))&gt;(VLOOKUP($D$13,Lookups!$C$8:$G$13,5,FALSE))), VLOOKUP('Stage 1'!D13,Lookups!$C$8:$G$16,5,FALSE),""),"")</f>
        <v/>
      </c>
      <c r="H15" s="27" t="str">
        <f>IFERROR(IF(AND($D$9&lt;DATE(2025,1,1),(VLOOKUP($D$13,Lookups!$C$8:$G$13,3,FALSE))&gt;(VLOOKUP($D$13,Lookups!$C$8:$G$13,5,FALSE))), "mg TN/litre",""),"")</f>
        <v/>
      </c>
      <c r="I15" s="9"/>
      <c r="J15" s="175"/>
      <c r="K15" s="189"/>
    </row>
    <row r="16" spans="1:12" ht="18" customHeight="1" x14ac:dyDescent="0.3">
      <c r="A16" s="190"/>
      <c r="B16" s="1"/>
      <c r="C16" s="1"/>
      <c r="D16" s="1"/>
      <c r="E16" s="1"/>
      <c r="F16" s="1"/>
      <c r="G16" s="1"/>
      <c r="H16" s="1"/>
      <c r="I16" s="1"/>
      <c r="J16" s="131"/>
    </row>
    <row r="17" spans="1:14" ht="17.399999999999999" x14ac:dyDescent="0.3">
      <c r="A17" s="190"/>
      <c r="B17" s="1"/>
      <c r="C17" s="276" t="s">
        <v>204</v>
      </c>
      <c r="D17" s="276"/>
      <c r="E17" s="1"/>
      <c r="F17" s="1"/>
      <c r="G17" s="1"/>
      <c r="H17" s="1"/>
      <c r="I17" s="1"/>
      <c r="J17" s="131"/>
    </row>
    <row r="18" spans="1:14" x14ac:dyDescent="0.3">
      <c r="A18" s="190"/>
      <c r="B18" s="1"/>
      <c r="C18" s="1"/>
      <c r="D18" s="1"/>
      <c r="E18" s="1"/>
      <c r="F18" s="1"/>
      <c r="G18" s="1"/>
      <c r="H18" s="1"/>
      <c r="I18" s="1"/>
      <c r="J18" s="181"/>
    </row>
    <row r="19" spans="1:14" ht="3.75" customHeight="1" x14ac:dyDescent="0.3">
      <c r="A19" s="190"/>
      <c r="B19" s="1"/>
      <c r="C19" s="1"/>
      <c r="D19" s="1"/>
      <c r="E19" s="1"/>
      <c r="F19" s="1"/>
      <c r="G19" s="1"/>
      <c r="H19" s="1"/>
      <c r="I19" s="1"/>
      <c r="J19" s="181"/>
      <c r="N19" s="185" t="s">
        <v>139</v>
      </c>
    </row>
    <row r="20" spans="1:14" ht="15.6" x14ac:dyDescent="0.3">
      <c r="A20" s="190"/>
      <c r="B20" s="1"/>
      <c r="C20" s="274" t="str">
        <f>IFERROR(IF(AND($D$9&lt;DATE(2025,1,1),OR((VLOOKUP($D$13,Lookups!$C$8:$G$13,2,FALSE))&gt;(VLOOKUP($D$13,Lookups!$C$8:$G$13,4,FALSE)),(VLOOKUP($D$13,Lookups!$C$8:$G$13,3,FALSE))&gt;(VLOOKUP($D$13,Lookups!$C$8:$G$13,5,FALSE)))),"Post-2025 Stage 1 Nutrient Loading","Stage 1 Nutrient Loading"),"")</f>
        <v>Post-2025 Stage 1 Nutrient Loading</v>
      </c>
      <c r="D20" s="274"/>
      <c r="E20" s="1"/>
      <c r="F20" s="1"/>
      <c r="G20" s="274" t="str">
        <f>IFERROR(IF(AND($D$9&lt;DATE(2025,1,1),OR((VLOOKUP($D$13,Lookups!$C$8:$G$13,2,FALSE))&gt;(VLOOKUP($D$13,Lookups!$C$8:$G$13,4,FALSE)),(VLOOKUP($D$13,Lookups!$C$8:$G$13,3,FALSE))&gt;(VLOOKUP($D$13,Lookups!$C$8:$G$13,5,FALSE)))),"Pre-2025 Stage 1 Nutrient Loading",""),"")</f>
        <v>Pre-2025 Stage 1 Nutrient Loading</v>
      </c>
      <c r="H20" s="274"/>
      <c r="I20" s="1"/>
      <c r="J20" s="131"/>
    </row>
    <row r="21" spans="1:14" x14ac:dyDescent="0.3">
      <c r="A21" s="190"/>
      <c r="B21" s="1"/>
      <c r="C21" s="1"/>
      <c r="D21" s="1"/>
      <c r="E21" s="1"/>
      <c r="F21" s="1"/>
      <c r="G21" s="1"/>
      <c r="H21" s="1"/>
      <c r="I21" s="1"/>
      <c r="J21" s="181"/>
    </row>
    <row r="22" spans="1:14" ht="17.399999999999999" thickBot="1" x14ac:dyDescent="0.45">
      <c r="A22" s="190"/>
      <c r="B22" s="1"/>
      <c r="C22" s="61" t="s">
        <v>73</v>
      </c>
      <c r="D22" s="62">
        <f>IF(ISBLANK(D12),"",D10*D12)</f>
        <v>2.4</v>
      </c>
      <c r="E22" s="29" t="s">
        <v>142</v>
      </c>
      <c r="F22" s="1"/>
      <c r="G22" s="20" t="str">
        <f>IFERROR(IF(AND($D$9&lt;DATE(2025,1,1),OR((VLOOKUP($D$13,Lookups!$C$8:$G$13,2,FALSE))&gt;(VLOOKUP($D$13,Lookups!$C$8:$G$13,4,FALSE)),(VLOOKUP($D$13,Lookups!$C$8:$G$13,3,FALSE))&gt;(VLOOKUP($D$13,Lookups!$C$8:$G$13,5,FALSE)))),"Annual wastewater TP load:",""),"")</f>
        <v>Annual wastewater TP load:</v>
      </c>
      <c r="H22" s="22">
        <f>IFERROR(IF(AND($D$9&lt;DATE(2025,1,1),OR((VLOOKUP($D$13,Lookups!$C$8:$G$13,2,FALSE))&gt;(VLOOKUP($D$13,Lookups!$C$8:$G$13,4,FALSE)),(VLOOKUP($D$13,Lookups!$C$8:$G$13,3,FALSE))&gt;(VLOOKUP($D$13,Lookups!$C$8:$G$13,5,FALSE)))),IF(D14=8,(D14*D$23)/1000000*365.25,(D14*D$23*0.9)/1000000*365.25),""),"")</f>
        <v>8.6783399999999997E-2</v>
      </c>
      <c r="I22" s="29" t="str">
        <f>IFERROR(IF(AND($D$9&lt;DATE(2025,1,1),OR((VLOOKUP($D$13,Lookups!$C$8:$G$13,2,FALSE))&gt;(VLOOKUP($D$13,Lookups!$C$8:$G$13,4,FALSE)),(VLOOKUP($D$13,Lookups!$C$8:$G$13,3,FALSE))&gt;(VLOOKUP($D$13,Lookups!$C$8:$G$13,5,FALSE)))),"kg TP/yr",""),"")</f>
        <v>kg TP/yr</v>
      </c>
      <c r="J22" s="182"/>
    </row>
    <row r="23" spans="1:14" ht="15" thickBot="1" x14ac:dyDescent="0.35">
      <c r="A23" s="190"/>
      <c r="B23" s="1"/>
      <c r="C23" s="28" t="s">
        <v>74</v>
      </c>
      <c r="D23" s="60">
        <f>IFERROR(D22*D11,"")</f>
        <v>264</v>
      </c>
      <c r="E23" s="29" t="s">
        <v>75</v>
      </c>
      <c r="F23" s="1"/>
      <c r="G23" s="20" t="str">
        <f>IFERROR(IF(AND($D$9&lt;DATE(2025,1,1),OR((VLOOKUP($D$13,Lookups!$C$8:$G$13,2,FALSE))&gt;(VLOOKUP($D$13,Lookups!$C$8:$G$13,4,FALSE)),(VLOOKUP($D$13,Lookups!$C$8:$G$13,3,FALSE))&gt;(VLOOKUP($D$13,Lookups!$C$8:$G$13,5,FALSE)))),"Annual wastewater TN load:",""),"")</f>
        <v>Annual wastewater TN load:</v>
      </c>
      <c r="H23" s="22">
        <f>IFERROR(IF(AND($D$9&lt;DATE(2025,1,1),OR((VLOOKUP($D$13,Lookups!$C$8:$G$13,2,FALSE))&gt;(VLOOKUP($D$13,Lookups!$C$8:$G$13,4,FALSE)),(VLOOKUP($D$13,Lookups!$C$8:$G$13,3,FALSE))&gt;(VLOOKUP($D$13,Lookups!$C$8:$G$13,5,FALSE)))),IF(D15=27,(D15*D$23)/1000000*365.25,(D15*D$23*0.9)/1000000*365.25),""),"")</f>
        <v>2.6035019999999998</v>
      </c>
      <c r="I23" s="29" t="str">
        <f>IFERROR(IF(AND($D$9&lt;DATE(2025,1,1),OR((VLOOKUP($D$13,Lookups!$C$8:$G$13,2,FALSE))&gt;(VLOOKUP($D$13,Lookups!$C$8:$G$13,4,FALSE)),(VLOOKUP($D$13,Lookups!$C$8:$G$13,3,FALSE))&gt;(VLOOKUP($D$13,Lookups!$C$8:$G$13,5,FALSE)))),"kg TN/yr",""),"")</f>
        <v>kg TN/yr</v>
      </c>
      <c r="J23" s="131"/>
    </row>
    <row r="24" spans="1:14" hidden="1" x14ac:dyDescent="0.3">
      <c r="A24" s="190"/>
      <c r="B24" s="1"/>
      <c r="C24" s="1"/>
      <c r="D24" s="1"/>
      <c r="E24" s="90"/>
      <c r="F24" s="1"/>
      <c r="G24" s="1"/>
      <c r="H24" s="1"/>
      <c r="I24" s="90"/>
      <c r="J24" s="131"/>
    </row>
    <row r="25" spans="1:14" hidden="1" x14ac:dyDescent="0.3">
      <c r="A25" s="190"/>
      <c r="B25" s="1"/>
      <c r="C25" s="4"/>
      <c r="D25" s="4"/>
      <c r="E25" s="90"/>
      <c r="F25" s="1"/>
      <c r="G25" s="93"/>
      <c r="H25" s="93"/>
      <c r="I25" s="94"/>
      <c r="J25" s="183"/>
      <c r="K25" s="186"/>
    </row>
    <row r="26" spans="1:14" ht="15" hidden="1" thickBot="1" x14ac:dyDescent="0.35">
      <c r="A26" s="190"/>
      <c r="B26" s="1"/>
      <c r="C26" s="61" t="s">
        <v>76</v>
      </c>
      <c r="D26" s="62">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142.56</v>
      </c>
      <c r="E26" s="29" t="s">
        <v>77</v>
      </c>
      <c r="F26" s="1"/>
      <c r="G26" s="95"/>
      <c r="H26" s="93"/>
      <c r="I26" s="93"/>
      <c r="J26" s="184"/>
      <c r="K26" s="186"/>
    </row>
    <row r="27" spans="1:14" ht="15" hidden="1" thickBot="1" x14ac:dyDescent="0.35">
      <c r="A27" s="190"/>
      <c r="B27" s="1"/>
      <c r="C27" s="28" t="s">
        <v>78</v>
      </c>
      <c r="D27" s="60">
        <f>IFERROR($D$26/1000000,"")</f>
        <v>1.4255999999999999E-4</v>
      </c>
      <c r="E27" s="29" t="s">
        <v>79</v>
      </c>
      <c r="F27" s="1"/>
      <c r="G27" s="95"/>
      <c r="H27" s="99"/>
      <c r="I27" s="96"/>
      <c r="J27" s="184"/>
      <c r="K27" s="186"/>
    </row>
    <row r="28" spans="1:14" ht="15" hidden="1" thickBot="1" x14ac:dyDescent="0.35">
      <c r="A28" s="190"/>
      <c r="B28" s="1"/>
      <c r="C28" s="63" t="s">
        <v>80</v>
      </c>
      <c r="D28" s="65">
        <f>IFERROR($D$27*365.25,"")</f>
        <v>5.2070039999999998E-2</v>
      </c>
      <c r="E28" s="29" t="s">
        <v>81</v>
      </c>
      <c r="F28" s="1"/>
      <c r="G28" s="95"/>
      <c r="H28" s="100"/>
      <c r="I28" s="96"/>
      <c r="J28" s="184"/>
      <c r="K28" s="186"/>
    </row>
    <row r="29" spans="1:14" x14ac:dyDescent="0.3">
      <c r="A29" s="190"/>
      <c r="B29" s="1"/>
      <c r="C29" s="64" t="s">
        <v>140</v>
      </c>
      <c r="D29" s="66">
        <f>D28</f>
        <v>5.2070039999999998E-2</v>
      </c>
      <c r="E29" s="91" t="s">
        <v>81</v>
      </c>
      <c r="F29" s="1"/>
      <c r="G29" s="97"/>
      <c r="H29" s="101"/>
      <c r="I29" s="98"/>
      <c r="J29" s="184"/>
      <c r="K29" s="186"/>
    </row>
    <row r="30" spans="1:14" hidden="1" x14ac:dyDescent="0.3">
      <c r="A30" s="190"/>
      <c r="B30" s="1"/>
      <c r="C30" s="1"/>
      <c r="D30" s="1"/>
      <c r="E30" s="90"/>
      <c r="F30" s="1"/>
      <c r="G30" s="93"/>
      <c r="H30" s="93"/>
      <c r="I30" s="94"/>
      <c r="J30" s="184"/>
      <c r="K30" s="186"/>
    </row>
    <row r="31" spans="1:14" hidden="1" x14ac:dyDescent="0.3">
      <c r="A31" s="190"/>
      <c r="B31" s="1"/>
      <c r="C31" s="1"/>
      <c r="D31" s="1"/>
      <c r="E31" s="90"/>
      <c r="F31" s="1"/>
      <c r="G31" s="93"/>
      <c r="H31" s="93"/>
      <c r="I31" s="94"/>
      <c r="J31" s="184"/>
      <c r="K31" s="186"/>
    </row>
    <row r="32" spans="1:14" ht="15" hidden="1" thickBot="1" x14ac:dyDescent="0.35">
      <c r="A32" s="190"/>
      <c r="B32" s="1"/>
      <c r="C32" s="28" t="s">
        <v>105</v>
      </c>
      <c r="D32" s="60">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7128</v>
      </c>
      <c r="E32" s="29" t="s">
        <v>106</v>
      </c>
      <c r="F32" s="1"/>
      <c r="G32" s="95"/>
      <c r="H32" s="99"/>
      <c r="I32" s="96"/>
      <c r="J32" s="184"/>
      <c r="K32" s="186"/>
    </row>
    <row r="33" spans="1:11" ht="15" hidden="1" thickBot="1" x14ac:dyDescent="0.35">
      <c r="A33" s="190"/>
      <c r="B33" s="1"/>
      <c r="C33" s="67" t="s">
        <v>109</v>
      </c>
      <c r="D33" s="68">
        <f>IFERROR($D$32/1000000,"")</f>
        <v>7.1279999999999998E-3</v>
      </c>
      <c r="E33" s="29" t="s">
        <v>107</v>
      </c>
      <c r="F33" s="1"/>
      <c r="G33" s="95"/>
      <c r="H33" s="99"/>
      <c r="I33" s="96"/>
      <c r="J33" s="184"/>
      <c r="K33" s="186"/>
    </row>
    <row r="34" spans="1:11" ht="15" hidden="1" thickBot="1" x14ac:dyDescent="0.35">
      <c r="A34" s="190"/>
      <c r="B34" s="1"/>
      <c r="C34" s="67" t="s">
        <v>110</v>
      </c>
      <c r="D34" s="69">
        <f>IFERROR($D$33*365.25,"")</f>
        <v>2.6035019999999998</v>
      </c>
      <c r="E34" s="29" t="s">
        <v>108</v>
      </c>
      <c r="F34" s="1"/>
      <c r="G34" s="95"/>
      <c r="H34" s="100"/>
      <c r="I34" s="96"/>
      <c r="J34" s="184"/>
      <c r="K34" s="186"/>
    </row>
    <row r="35" spans="1:11" x14ac:dyDescent="0.3">
      <c r="A35" s="190"/>
      <c r="B35" s="1"/>
      <c r="C35" s="20" t="s">
        <v>141</v>
      </c>
      <c r="D35" s="21">
        <f>D34</f>
        <v>2.6035019999999998</v>
      </c>
      <c r="E35" s="91" t="s">
        <v>108</v>
      </c>
      <c r="F35" s="1"/>
      <c r="G35" s="97"/>
      <c r="H35" s="101"/>
      <c r="I35" s="98"/>
      <c r="J35" s="184"/>
      <c r="K35" s="186"/>
    </row>
    <row r="36" spans="1:11" ht="15" thickBot="1" x14ac:dyDescent="0.35">
      <c r="A36" s="190"/>
      <c r="B36" s="176"/>
      <c r="C36" s="157"/>
      <c r="D36" s="157"/>
      <c r="E36" s="157"/>
      <c r="F36" s="157"/>
      <c r="G36" s="157"/>
      <c r="H36" s="157"/>
      <c r="I36" s="157"/>
      <c r="J36" s="158"/>
    </row>
    <row r="37" spans="1:11" ht="15" thickTop="1" x14ac:dyDescent="0.3"/>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0 H9:H15">
    <cfRule type="expression" dxfId="6" priority="12">
      <formula>_xlfn.ISFORMULA($G$10)</formula>
    </cfRule>
    <cfRule type="expression" dxfId="5" priority="13">
      <formula>ISTEXT($G$10)</formula>
    </cfRule>
  </conditionalFormatting>
  <conditionalFormatting sqref="G15">
    <cfRule type="expression" dxfId="4" priority="4">
      <formula>ISNUMBER($G$15)</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13" zoomScaleNormal="100" workbookViewId="0">
      <selection activeCell="D15" sqref="D15"/>
    </sheetView>
  </sheetViews>
  <sheetFormatPr defaultColWidth="9.109375" defaultRowHeight="14.4" x14ac:dyDescent="0.3"/>
  <cols>
    <col min="1" max="1" width="9.109375" style="160"/>
    <col min="2" max="2" width="4.6640625" style="160" customWidth="1"/>
    <col min="3" max="3" width="32.109375" style="160" customWidth="1"/>
    <col min="4" max="4" width="8.44140625" style="160" bestFit="1" customWidth="1"/>
    <col min="5" max="5" width="21.109375" style="160" customWidth="1"/>
    <col min="6" max="6" width="17.6640625" style="160" customWidth="1"/>
    <col min="7" max="7" width="5.44140625" style="160" customWidth="1"/>
    <col min="8" max="8" width="8.109375" style="160" customWidth="1"/>
    <col min="9" max="9" width="9.109375" style="160" customWidth="1"/>
    <col min="10" max="10" width="26.109375" style="160" customWidth="1"/>
    <col min="11" max="16384" width="9.109375" style="160"/>
  </cols>
  <sheetData>
    <row r="3" spans="1:10" x14ac:dyDescent="0.3">
      <c r="A3" s="161"/>
      <c r="B3" s="271" t="s">
        <v>209</v>
      </c>
      <c r="C3" s="280"/>
      <c r="D3" s="280"/>
      <c r="E3" s="280"/>
      <c r="F3" s="280"/>
      <c r="G3" s="273"/>
    </row>
    <row r="4" spans="1:10" x14ac:dyDescent="0.3">
      <c r="A4" s="161"/>
      <c r="B4" s="271"/>
      <c r="C4" s="280"/>
      <c r="D4" s="280"/>
      <c r="E4" s="280"/>
      <c r="F4" s="280"/>
      <c r="G4" s="273"/>
    </row>
    <row r="5" spans="1:10" x14ac:dyDescent="0.3">
      <c r="A5" s="161"/>
      <c r="B5" s="271"/>
      <c r="C5" s="280"/>
      <c r="D5" s="280"/>
      <c r="E5" s="280"/>
      <c r="F5" s="280"/>
      <c r="G5" s="273"/>
    </row>
    <row r="6" spans="1:10" ht="18" x14ac:dyDescent="0.3">
      <c r="A6" s="161"/>
      <c r="B6" s="4"/>
      <c r="C6" s="1"/>
      <c r="D6" s="1"/>
      <c r="E6" s="1"/>
      <c r="F6" s="1"/>
      <c r="G6" s="174"/>
    </row>
    <row r="7" spans="1:10" ht="18" customHeight="1" x14ac:dyDescent="0.3">
      <c r="A7" s="161"/>
      <c r="B7" s="4"/>
      <c r="C7" s="281" t="s">
        <v>205</v>
      </c>
      <c r="D7" s="281"/>
      <c r="E7" s="281"/>
      <c r="F7" s="281"/>
      <c r="G7" s="173"/>
    </row>
    <row r="8" spans="1:10" ht="12" customHeight="1" x14ac:dyDescent="0.3">
      <c r="A8" s="161"/>
      <c r="B8" s="4"/>
      <c r="C8" s="1"/>
      <c r="D8" s="1"/>
      <c r="E8" s="1"/>
      <c r="F8" s="1"/>
      <c r="G8" s="173"/>
    </row>
    <row r="9" spans="1:10" ht="18.600000000000001" thickBot="1" x14ac:dyDescent="0.35">
      <c r="A9" s="161"/>
      <c r="B9" s="4"/>
      <c r="C9" s="278" t="s">
        <v>70</v>
      </c>
      <c r="D9" s="278"/>
      <c r="E9" s="111" t="s">
        <v>82</v>
      </c>
      <c r="F9" s="1"/>
      <c r="G9" s="173"/>
    </row>
    <row r="10" spans="1:10" ht="18.600000000000001" thickBot="1" x14ac:dyDescent="0.35">
      <c r="A10" s="161"/>
      <c r="B10" s="4"/>
      <c r="C10" s="279" t="s">
        <v>83</v>
      </c>
      <c r="D10" s="279"/>
      <c r="E10" s="112" t="s">
        <v>20</v>
      </c>
      <c r="F10" s="1"/>
      <c r="G10" s="175"/>
    </row>
    <row r="11" spans="1:10" ht="18.600000000000001" thickBot="1" x14ac:dyDescent="0.35">
      <c r="A11" s="161"/>
      <c r="B11" s="4"/>
      <c r="C11" s="279" t="s">
        <v>222</v>
      </c>
      <c r="D11" s="279"/>
      <c r="E11" s="113" t="s">
        <v>41</v>
      </c>
      <c r="F11" s="1"/>
      <c r="G11" s="175"/>
    </row>
    <row r="12" spans="1:10" x14ac:dyDescent="0.3">
      <c r="A12" s="161"/>
      <c r="B12" s="1"/>
      <c r="C12" s="277" t="s">
        <v>221</v>
      </c>
      <c r="D12" s="277"/>
      <c r="E12" s="114" t="s">
        <v>95</v>
      </c>
      <c r="F12" s="1"/>
      <c r="G12" s="131"/>
    </row>
    <row r="13" spans="1:10" x14ac:dyDescent="0.3">
      <c r="A13" s="161"/>
      <c r="B13" s="1"/>
      <c r="C13" s="1"/>
      <c r="D13" s="1"/>
      <c r="E13" s="1"/>
      <c r="F13" s="1"/>
      <c r="G13" s="131"/>
    </row>
    <row r="14" spans="1:10" ht="63" customHeight="1" thickBot="1" x14ac:dyDescent="0.35">
      <c r="A14" s="161"/>
      <c r="B14" s="1"/>
      <c r="C14" s="76" t="s">
        <v>153</v>
      </c>
      <c r="D14" s="77" t="s">
        <v>98</v>
      </c>
      <c r="E14" s="77" t="s">
        <v>207</v>
      </c>
      <c r="F14" s="78" t="s">
        <v>208</v>
      </c>
      <c r="G14" s="131"/>
    </row>
    <row r="15" spans="1:10" x14ac:dyDescent="0.3">
      <c r="A15" s="161"/>
      <c r="B15" s="1"/>
      <c r="C15" s="115" t="s">
        <v>64</v>
      </c>
      <c r="D15" s="217">
        <v>2.8899999999999999E-2</v>
      </c>
      <c r="E15" s="215">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4.7724561987409979E-2</v>
      </c>
      <c r="F15" s="214">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0.44441369980634982</v>
      </c>
      <c r="G15" s="191"/>
      <c r="H15" s="192"/>
      <c r="I15" s="192"/>
      <c r="J15" s="192"/>
    </row>
    <row r="16" spans="1:10" x14ac:dyDescent="0.3">
      <c r="A16" s="161"/>
      <c r="B16" s="1"/>
      <c r="C16" s="115"/>
      <c r="D16" s="230"/>
      <c r="E16" s="215"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14"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91"/>
      <c r="H16" s="192"/>
      <c r="I16" s="192"/>
      <c r="J16" s="192"/>
    </row>
    <row r="17" spans="1:10" x14ac:dyDescent="0.3">
      <c r="A17" s="161"/>
      <c r="B17" s="1"/>
      <c r="C17" s="115"/>
      <c r="D17" s="230"/>
      <c r="E17" s="215"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14"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91"/>
      <c r="H17" s="192"/>
      <c r="I17" s="192"/>
      <c r="J17" s="192"/>
    </row>
    <row r="18" spans="1:10" x14ac:dyDescent="0.3">
      <c r="A18" s="161"/>
      <c r="B18" s="1"/>
      <c r="C18" s="231"/>
      <c r="D18" s="230"/>
      <c r="E18" s="215"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14"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91"/>
      <c r="H18" s="192"/>
      <c r="I18" s="192"/>
      <c r="J18" s="192"/>
    </row>
    <row r="19" spans="1:10" x14ac:dyDescent="0.3">
      <c r="A19" s="161"/>
      <c r="B19" s="1"/>
      <c r="C19" s="115"/>
      <c r="D19" s="230"/>
      <c r="E19" s="215"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14"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91"/>
      <c r="H19" s="192"/>
      <c r="I19" s="192"/>
      <c r="J19" s="192"/>
    </row>
    <row r="20" spans="1:10" x14ac:dyDescent="0.3">
      <c r="A20" s="161"/>
      <c r="B20" s="1"/>
      <c r="C20" s="115"/>
      <c r="D20" s="230"/>
      <c r="E20" s="215"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14"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91"/>
      <c r="H20" s="192"/>
      <c r="I20" s="192"/>
      <c r="J20" s="192"/>
    </row>
    <row r="21" spans="1:10" x14ac:dyDescent="0.3">
      <c r="A21" s="161"/>
      <c r="B21" s="1"/>
      <c r="C21" s="115"/>
      <c r="D21" s="230"/>
      <c r="E21" s="215"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14"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84"/>
    </row>
    <row r="22" spans="1:10" x14ac:dyDescent="0.3">
      <c r="A22" s="161"/>
      <c r="B22" s="1"/>
      <c r="C22" s="115"/>
      <c r="D22" s="230"/>
      <c r="E22" s="215"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14"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84"/>
    </row>
    <row r="23" spans="1:10" x14ac:dyDescent="0.3">
      <c r="A23" s="161"/>
      <c r="B23" s="1"/>
      <c r="C23" s="115"/>
      <c r="D23" s="230"/>
      <c r="E23" s="215"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14"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84"/>
    </row>
    <row r="24" spans="1:10" x14ac:dyDescent="0.3">
      <c r="A24" s="161"/>
      <c r="B24" s="1"/>
      <c r="C24" s="115"/>
      <c r="D24" s="230"/>
      <c r="E24" s="215"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14"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84"/>
    </row>
    <row r="25" spans="1:10" x14ac:dyDescent="0.3">
      <c r="A25" s="161"/>
      <c r="B25" s="1"/>
      <c r="C25" s="115"/>
      <c r="D25" s="230"/>
      <c r="E25" s="215"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14"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84"/>
    </row>
    <row r="26" spans="1:10" x14ac:dyDescent="0.3">
      <c r="A26" s="161"/>
      <c r="B26" s="1"/>
      <c r="C26" s="115"/>
      <c r="D26" s="230"/>
      <c r="E26" s="215"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14"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84"/>
    </row>
    <row r="27" spans="1:10" x14ac:dyDescent="0.3">
      <c r="A27" s="161"/>
      <c r="B27" s="1"/>
      <c r="C27" s="115"/>
      <c r="D27" s="230"/>
      <c r="E27" s="215"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14"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84"/>
    </row>
    <row r="28" spans="1:10" x14ac:dyDescent="0.3">
      <c r="A28" s="161"/>
      <c r="B28" s="1"/>
      <c r="C28" s="115"/>
      <c r="D28" s="230"/>
      <c r="E28" s="215"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14"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84"/>
      <c r="I28" s="193"/>
    </row>
    <row r="29" spans="1:10" x14ac:dyDescent="0.3">
      <c r="A29" s="161"/>
      <c r="B29" s="1"/>
      <c r="C29" s="115"/>
      <c r="D29" s="230"/>
      <c r="E29" s="215"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14"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84"/>
    </row>
    <row r="30" spans="1:10" x14ac:dyDescent="0.3">
      <c r="A30" s="161"/>
      <c r="B30" s="1"/>
      <c r="C30" s="115"/>
      <c r="D30" s="230"/>
      <c r="E30" s="215"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14"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84"/>
    </row>
    <row r="31" spans="1:10" ht="15" thickBot="1" x14ac:dyDescent="0.35">
      <c r="A31" s="161"/>
      <c r="B31" s="1"/>
      <c r="C31" s="115"/>
      <c r="D31" s="116"/>
      <c r="E31" s="216"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8"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84"/>
    </row>
    <row r="32" spans="1:10" x14ac:dyDescent="0.3">
      <c r="A32" s="161"/>
      <c r="B32" s="1"/>
      <c r="C32" s="79" t="s">
        <v>84</v>
      </c>
      <c r="D32" s="107">
        <f>SUM(D15:D31)</f>
        <v>2.8899999999999999E-2</v>
      </c>
      <c r="E32" s="108">
        <f>SUM(E15:E31)</f>
        <v>4.7724561987409979E-2</v>
      </c>
      <c r="F32" s="213">
        <f>SUM(F15:F31)</f>
        <v>0.44441369980634982</v>
      </c>
      <c r="G32" s="131"/>
    </row>
    <row r="33" spans="1:7" ht="15" thickBot="1" x14ac:dyDescent="0.35">
      <c r="A33" s="161"/>
      <c r="B33" s="176"/>
      <c r="C33" s="157"/>
      <c r="D33" s="157"/>
      <c r="E33" s="157"/>
      <c r="F33" s="157"/>
      <c r="G33" s="158"/>
    </row>
    <row r="34" spans="1:7" ht="15" thickTop="1" x14ac:dyDescent="0.3"/>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K29"/>
  <sheetViews>
    <sheetView showRowColHeaders="0" topLeftCell="A7" zoomScaleNormal="100" workbookViewId="0">
      <selection activeCell="D20" sqref="D20"/>
    </sheetView>
  </sheetViews>
  <sheetFormatPr defaultColWidth="9.109375" defaultRowHeight="14.4" x14ac:dyDescent="0.3"/>
  <cols>
    <col min="1" max="1" width="9.109375" style="160"/>
    <col min="2" max="2" width="4.6640625" style="160" customWidth="1"/>
    <col min="3" max="3" width="32" style="160" customWidth="1"/>
    <col min="4" max="4" width="12.44140625" style="160" customWidth="1"/>
    <col min="5" max="5" width="19.5546875" style="160" customWidth="1"/>
    <col min="6" max="6" width="18.88671875" style="160" customWidth="1"/>
    <col min="7" max="7" width="4.5546875" style="160" customWidth="1"/>
    <col min="8" max="16384" width="9.109375" style="160"/>
  </cols>
  <sheetData>
    <row r="3" spans="1:9" x14ac:dyDescent="0.3">
      <c r="A3" s="161"/>
      <c r="B3" s="271" t="s">
        <v>210</v>
      </c>
      <c r="C3" s="280"/>
      <c r="D3" s="280"/>
      <c r="E3" s="280"/>
      <c r="F3" s="280"/>
      <c r="G3" s="273"/>
    </row>
    <row r="4" spans="1:9" x14ac:dyDescent="0.3">
      <c r="A4" s="161"/>
      <c r="B4" s="271"/>
      <c r="C4" s="280"/>
      <c r="D4" s="280"/>
      <c r="E4" s="280"/>
      <c r="F4" s="280"/>
      <c r="G4" s="273"/>
    </row>
    <row r="5" spans="1:9" x14ac:dyDescent="0.3">
      <c r="A5" s="161"/>
      <c r="B5" s="271"/>
      <c r="C5" s="280"/>
      <c r="D5" s="280"/>
      <c r="E5" s="280"/>
      <c r="F5" s="280"/>
      <c r="G5" s="273"/>
    </row>
    <row r="6" spans="1:9" ht="18" x14ac:dyDescent="0.3">
      <c r="A6" s="161"/>
      <c r="B6" s="4"/>
      <c r="C6" s="1"/>
      <c r="D6" s="1"/>
      <c r="E6" s="1"/>
      <c r="F6" s="1"/>
      <c r="G6" s="174"/>
    </row>
    <row r="7" spans="1:9" ht="18" customHeight="1" x14ac:dyDescent="0.3">
      <c r="A7" s="161"/>
      <c r="B7" s="4"/>
      <c r="C7" s="276" t="s">
        <v>205</v>
      </c>
      <c r="D7" s="276"/>
      <c r="E7" s="276"/>
      <c r="F7" s="276"/>
      <c r="G7" s="173"/>
    </row>
    <row r="8" spans="1:9" x14ac:dyDescent="0.3">
      <c r="A8" s="161"/>
      <c r="B8" s="1"/>
      <c r="C8" s="1"/>
      <c r="D8" s="1"/>
      <c r="E8" s="1"/>
      <c r="F8" s="1"/>
      <c r="G8" s="131"/>
    </row>
    <row r="9" spans="1:9" ht="68.25" customHeight="1" thickBot="1" x14ac:dyDescent="0.35">
      <c r="A9" s="161"/>
      <c r="B9" s="1"/>
      <c r="C9" s="80" t="s">
        <v>152</v>
      </c>
      <c r="D9" s="80" t="s">
        <v>98</v>
      </c>
      <c r="E9" s="77" t="s">
        <v>207</v>
      </c>
      <c r="F9" s="78" t="s">
        <v>214</v>
      </c>
      <c r="G9" s="131"/>
    </row>
    <row r="10" spans="1:9" x14ac:dyDescent="0.3">
      <c r="A10" s="161"/>
      <c r="B10" s="1"/>
      <c r="C10" s="115" t="s">
        <v>64</v>
      </c>
      <c r="D10" s="123">
        <v>0.03</v>
      </c>
      <c r="E10" s="82">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4.9541067806999982E-2</v>
      </c>
      <c r="F10" s="81">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0.46132910014499978</v>
      </c>
      <c r="G10" s="131"/>
    </row>
    <row r="11" spans="1:9" x14ac:dyDescent="0.3">
      <c r="A11" s="161"/>
      <c r="B11" s="1"/>
      <c r="C11" s="115"/>
      <c r="D11" s="123"/>
      <c r="E11" s="82"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81"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31"/>
    </row>
    <row r="12" spans="1:9" x14ac:dyDescent="0.3">
      <c r="A12" s="161"/>
      <c r="B12" s="1"/>
      <c r="C12" s="115"/>
      <c r="D12" s="123"/>
      <c r="E12" s="82"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81"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31"/>
    </row>
    <row r="13" spans="1:9" x14ac:dyDescent="0.3">
      <c r="A13" s="161"/>
      <c r="B13" s="1"/>
      <c r="C13" s="115"/>
      <c r="D13" s="123"/>
      <c r="E13" s="82"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81"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31"/>
    </row>
    <row r="14" spans="1:9" x14ac:dyDescent="0.3">
      <c r="A14" s="161"/>
      <c r="B14" s="1"/>
      <c r="C14" s="115"/>
      <c r="D14" s="123"/>
      <c r="E14" s="82"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81"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31"/>
    </row>
    <row r="15" spans="1:9" x14ac:dyDescent="0.3">
      <c r="A15" s="161"/>
      <c r="B15" s="1"/>
      <c r="C15" s="115"/>
      <c r="D15" s="123"/>
      <c r="E15" s="82"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81"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31"/>
      <c r="I15" s="193"/>
    </row>
    <row r="16" spans="1:9" x14ac:dyDescent="0.3">
      <c r="A16" s="161"/>
      <c r="B16" s="1"/>
      <c r="C16" s="115"/>
      <c r="D16" s="123"/>
      <c r="E16" s="82"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81"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31"/>
    </row>
    <row r="17" spans="1:11" x14ac:dyDescent="0.3">
      <c r="A17" s="161"/>
      <c r="B17" s="1"/>
      <c r="C17" s="115"/>
      <c r="D17" s="123"/>
      <c r="E17" s="82"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81"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31"/>
    </row>
    <row r="18" spans="1:11" x14ac:dyDescent="0.3">
      <c r="A18" s="161"/>
      <c r="B18" s="1"/>
      <c r="C18" s="115"/>
      <c r="D18" s="124"/>
      <c r="E18" s="82"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81"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31"/>
    </row>
    <row r="19" spans="1:11" x14ac:dyDescent="0.3">
      <c r="A19" s="161"/>
      <c r="B19" s="1"/>
      <c r="C19" s="115"/>
      <c r="D19" s="124"/>
      <c r="E19" s="82"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81"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31"/>
    </row>
    <row r="20" spans="1:11" x14ac:dyDescent="0.3">
      <c r="A20" s="161"/>
      <c r="B20" s="1"/>
      <c r="C20" s="115"/>
      <c r="D20" s="124"/>
      <c r="E20" s="82"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81"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31"/>
    </row>
    <row r="21" spans="1:11" x14ac:dyDescent="0.3">
      <c r="A21" s="161"/>
      <c r="B21" s="1"/>
      <c r="C21" s="115"/>
      <c r="D21" s="124"/>
      <c r="E21" s="82"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81"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31"/>
      <c r="K21" s="165"/>
    </row>
    <row r="22" spans="1:11" x14ac:dyDescent="0.3">
      <c r="A22" s="161"/>
      <c r="B22" s="1"/>
      <c r="C22" s="115"/>
      <c r="D22" s="124"/>
      <c r="E22" s="82"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81"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31"/>
    </row>
    <row r="23" spans="1:11" x14ac:dyDescent="0.3">
      <c r="A23" s="161"/>
      <c r="B23" s="1"/>
      <c r="C23" s="115"/>
      <c r="D23" s="125"/>
      <c r="E23" s="82"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81"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31"/>
    </row>
    <row r="24" spans="1:11" x14ac:dyDescent="0.3">
      <c r="A24" s="161"/>
      <c r="B24" s="1"/>
      <c r="C24" s="115"/>
      <c r="D24" s="123"/>
      <c r="E24" s="82"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81"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31"/>
    </row>
    <row r="25" spans="1:11" x14ac:dyDescent="0.3">
      <c r="A25" s="161"/>
      <c r="B25" s="1"/>
      <c r="C25" s="115"/>
      <c r="D25" s="123"/>
      <c r="E25" s="82"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81"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31"/>
    </row>
    <row r="26" spans="1:11" ht="15" thickBot="1" x14ac:dyDescent="0.35">
      <c r="A26" s="161"/>
      <c r="B26" s="1"/>
      <c r="C26" s="126"/>
      <c r="D26" s="127"/>
      <c r="E26" s="83"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27"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31"/>
    </row>
    <row r="27" spans="1:11" x14ac:dyDescent="0.3">
      <c r="A27" s="161"/>
      <c r="B27" s="1"/>
      <c r="C27" s="75" t="s">
        <v>84</v>
      </c>
      <c r="D27" s="152">
        <f>SUM(D10:D26)</f>
        <v>0.03</v>
      </c>
      <c r="E27" s="108">
        <f>SUM(E10:E26)</f>
        <v>4.9541067806999982E-2</v>
      </c>
      <c r="F27" s="109">
        <f>SUM(F10:F26)</f>
        <v>0.46132910014499978</v>
      </c>
      <c r="G27" s="131"/>
    </row>
    <row r="28" spans="1:11" ht="15" thickBot="1" x14ac:dyDescent="0.35">
      <c r="A28" s="161"/>
      <c r="B28" s="176"/>
      <c r="C28" s="157"/>
      <c r="D28" s="157"/>
      <c r="E28" s="157"/>
      <c r="F28" s="157"/>
      <c r="G28" s="158"/>
    </row>
    <row r="29" spans="1:11" ht="15" thickTop="1" x14ac:dyDescent="0.3"/>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2:L33"/>
  <sheetViews>
    <sheetView showRowColHeaders="0" topLeftCell="A6" zoomScaleNormal="100" workbookViewId="0">
      <selection activeCell="G22" sqref="G22:G25"/>
    </sheetView>
  </sheetViews>
  <sheetFormatPr defaultColWidth="9.109375" defaultRowHeight="14.4" x14ac:dyDescent="0.3"/>
  <cols>
    <col min="1" max="1" width="9.109375" style="160"/>
    <col min="2" max="2" width="4.88671875" style="160" customWidth="1"/>
    <col min="3" max="3" width="30.44140625" style="160" customWidth="1"/>
    <col min="4" max="4" width="26.88671875" style="160" customWidth="1"/>
    <col min="5" max="5" width="9.109375" style="160"/>
    <col min="6" max="6" width="22.109375" style="160" customWidth="1"/>
    <col min="7" max="7" width="23.33203125" style="160" customWidth="1"/>
    <col min="8" max="10" width="9.109375" style="160"/>
    <col min="11" max="11" width="7.109375" style="160" customWidth="1"/>
    <col min="12" max="16384" width="9.109375" style="160"/>
  </cols>
  <sheetData>
    <row r="2" spans="1:12" ht="15" thickBot="1" x14ac:dyDescent="0.35"/>
    <row r="3" spans="1:12" ht="15" thickTop="1" x14ac:dyDescent="0.3">
      <c r="B3" s="282" t="s">
        <v>212</v>
      </c>
      <c r="C3" s="283"/>
      <c r="D3" s="283"/>
      <c r="E3" s="283"/>
      <c r="F3" s="283"/>
      <c r="G3" s="283"/>
      <c r="H3" s="284"/>
    </row>
    <row r="4" spans="1:12" x14ac:dyDescent="0.3">
      <c r="B4" s="271"/>
      <c r="C4" s="272"/>
      <c r="D4" s="272"/>
      <c r="E4" s="272"/>
      <c r="F4" s="272"/>
      <c r="G4" s="272"/>
      <c r="H4" s="273"/>
    </row>
    <row r="5" spans="1:12" x14ac:dyDescent="0.3">
      <c r="B5" s="271"/>
      <c r="C5" s="272"/>
      <c r="D5" s="272"/>
      <c r="E5" s="272"/>
      <c r="F5" s="272"/>
      <c r="G5" s="272"/>
      <c r="H5" s="273"/>
      <c r="I5" s="165"/>
      <c r="J5" s="165"/>
      <c r="K5" s="165"/>
      <c r="L5" s="165"/>
    </row>
    <row r="6" spans="1:12" ht="18" x14ac:dyDescent="0.3">
      <c r="A6" s="165"/>
      <c r="B6" s="154"/>
      <c r="C6" s="4"/>
      <c r="D6" s="4"/>
      <c r="E6" s="4"/>
      <c r="F6" s="4"/>
      <c r="G6" s="4"/>
      <c r="H6" s="131"/>
      <c r="L6" s="168"/>
    </row>
    <row r="7" spans="1:12" ht="18" x14ac:dyDescent="0.3">
      <c r="A7" s="165"/>
      <c r="B7" s="154"/>
      <c r="C7" s="285" t="s">
        <v>211</v>
      </c>
      <c r="D7" s="285"/>
      <c r="E7" s="4"/>
      <c r="F7" s="4"/>
      <c r="G7" s="4"/>
      <c r="H7" s="131"/>
      <c r="L7" s="168"/>
    </row>
    <row r="8" spans="1:12" ht="18" hidden="1" customHeight="1" x14ac:dyDescent="0.5">
      <c r="A8" s="165"/>
      <c r="B8" s="154"/>
      <c r="C8" s="4"/>
      <c r="D8" s="4"/>
      <c r="E8" s="4"/>
      <c r="F8" s="4"/>
      <c r="G8" s="4"/>
      <c r="H8" s="194"/>
      <c r="I8" s="197"/>
      <c r="J8" s="198"/>
      <c r="L8" s="170"/>
    </row>
    <row r="9" spans="1:12" ht="12" hidden="1" customHeight="1" x14ac:dyDescent="0.5">
      <c r="A9" s="165"/>
      <c r="B9" s="154"/>
      <c r="C9" s="4"/>
      <c r="D9" s="4"/>
      <c r="E9" s="4"/>
      <c r="F9" s="4"/>
      <c r="G9" s="4"/>
      <c r="H9" s="195"/>
      <c r="I9" s="199"/>
      <c r="J9" s="200"/>
      <c r="L9" s="170"/>
    </row>
    <row r="10" spans="1:12" ht="18.600000000000001" hidden="1" thickBot="1" x14ac:dyDescent="0.55000000000000004">
      <c r="A10" s="165"/>
      <c r="B10" s="154"/>
      <c r="C10" s="72" t="s">
        <v>92</v>
      </c>
      <c r="D10" s="102">
        <f>'Stage 1'!D29</f>
        <v>5.2070039999999998E-2</v>
      </c>
      <c r="E10" s="30"/>
      <c r="F10" s="4"/>
      <c r="G10" s="4"/>
      <c r="H10" s="195"/>
      <c r="I10" s="199"/>
      <c r="J10" s="200"/>
      <c r="L10" s="170"/>
    </row>
    <row r="11" spans="1:12" ht="21" hidden="1" customHeight="1" thickBot="1" x14ac:dyDescent="0.55000000000000004">
      <c r="A11" s="165"/>
      <c r="B11" s="154"/>
      <c r="C11" s="130" t="s">
        <v>91</v>
      </c>
      <c r="D11" s="103">
        <f>'Stage 3'!E27-'Stage 2'!E32</f>
        <v>1.816505819590003E-3</v>
      </c>
      <c r="E11" s="25"/>
      <c r="F11" s="4"/>
      <c r="G11" s="4"/>
      <c r="H11" s="195"/>
      <c r="I11" s="201"/>
      <c r="J11" s="200"/>
      <c r="K11" s="168"/>
      <c r="L11" s="171"/>
    </row>
    <row r="12" spans="1:12" ht="18.600000000000001" hidden="1" thickBot="1" x14ac:dyDescent="0.35">
      <c r="A12" s="165"/>
      <c r="B12" s="154"/>
      <c r="C12" s="130" t="s">
        <v>90</v>
      </c>
      <c r="D12" s="69">
        <f>D10+D11</f>
        <v>5.3886545819590001E-2</v>
      </c>
      <c r="E12" s="26"/>
      <c r="F12" s="4"/>
      <c r="G12" s="4"/>
      <c r="H12" s="173"/>
      <c r="I12" s="202"/>
      <c r="J12" s="170"/>
      <c r="K12" s="170"/>
      <c r="L12" s="171"/>
    </row>
    <row r="13" spans="1:12" ht="29.25" hidden="1" customHeight="1" x14ac:dyDescent="0.3">
      <c r="B13" s="154"/>
      <c r="C13" s="129" t="s">
        <v>89</v>
      </c>
      <c r="D13" s="104">
        <f>D12*1.2</f>
        <v>6.4663854983508004E-2</v>
      </c>
      <c r="E13" s="27"/>
      <c r="F13" s="4"/>
      <c r="G13" s="4"/>
      <c r="H13" s="175"/>
      <c r="I13" s="203"/>
      <c r="J13" s="171"/>
      <c r="K13" s="171"/>
    </row>
    <row r="14" spans="1:12" ht="11.25" hidden="1" customHeight="1" x14ac:dyDescent="0.3">
      <c r="B14" s="154"/>
      <c r="C14" s="30"/>
      <c r="D14" s="196"/>
      <c r="E14" s="30"/>
      <c r="F14" s="4"/>
      <c r="G14" s="4"/>
      <c r="H14" s="131"/>
    </row>
    <row r="15" spans="1:12" hidden="1" x14ac:dyDescent="0.3">
      <c r="B15" s="154"/>
      <c r="C15" s="30"/>
      <c r="D15" s="196"/>
      <c r="E15" s="30"/>
      <c r="F15" s="4"/>
      <c r="G15" s="4"/>
      <c r="H15" s="131"/>
    </row>
    <row r="16" spans="1:12" ht="15" hidden="1" thickBot="1" x14ac:dyDescent="0.35">
      <c r="B16" s="154"/>
      <c r="C16" s="72" t="s">
        <v>85</v>
      </c>
      <c r="D16" s="102">
        <f>'Stage 1'!D34</f>
        <v>2.6035019999999998</v>
      </c>
      <c r="E16" s="30"/>
      <c r="F16" s="4"/>
      <c r="G16" s="4"/>
      <c r="H16" s="131"/>
    </row>
    <row r="17" spans="2:8" ht="15" hidden="1" thickBot="1" x14ac:dyDescent="0.35">
      <c r="B17" s="154"/>
      <c r="C17" s="130" t="s">
        <v>86</v>
      </c>
      <c r="D17" s="105">
        <f>'Stage 3'!F27-'Stage 2'!F32</f>
        <v>1.6915400338649966E-2</v>
      </c>
      <c r="E17" s="30"/>
      <c r="F17" s="4"/>
      <c r="G17" s="4"/>
      <c r="H17" s="131"/>
    </row>
    <row r="18" spans="2:8" ht="15" hidden="1" thickBot="1" x14ac:dyDescent="0.35">
      <c r="B18" s="154"/>
      <c r="C18" s="71" t="s">
        <v>87</v>
      </c>
      <c r="D18" s="92">
        <f>D16+D17</f>
        <v>2.6204174003386496</v>
      </c>
      <c r="E18" s="19"/>
      <c r="F18" s="4"/>
      <c r="G18" s="4"/>
      <c r="H18" s="131"/>
    </row>
    <row r="19" spans="2:8" hidden="1" x14ac:dyDescent="0.3">
      <c r="B19" s="154"/>
      <c r="C19" s="129" t="s">
        <v>88</v>
      </c>
      <c r="D19" s="104">
        <f>D18*1.2</f>
        <v>3.1445008804063792</v>
      </c>
      <c r="E19" s="19"/>
      <c r="F19" s="4"/>
      <c r="G19" s="4"/>
      <c r="H19" s="131"/>
    </row>
    <row r="20" spans="2:8" ht="18" x14ac:dyDescent="0.3">
      <c r="B20" s="154"/>
      <c r="C20" s="10"/>
      <c r="D20" s="12"/>
      <c r="E20" s="13"/>
      <c r="F20" s="4"/>
      <c r="G20" s="4"/>
      <c r="H20" s="131"/>
    </row>
    <row r="21" spans="2:8" ht="24.75" customHeight="1" x14ac:dyDescent="0.3">
      <c r="B21" s="154"/>
      <c r="C21" s="286" t="str">
        <f>IFERROR(IF(AND('Stage 1'!$D$9&lt;DATE(2025,1,1),OR((VLOOKUP('Stage 1'!$D$13,Lookups!$C$8:$G$13,2,FALSE))&gt;(VLOOKUP('Stage 1'!$D$13,Lookups!$C$8:$G$13,4,FALSE)),(VLOOKUP('Stage 1'!$D$13,Lookups!$C$8:$G$13,3,FALSE))&gt;(VLOOKUP('Stage 1'!$D$13,Lookups!$C$8:$G$13,5,FALSE)))),"Post-2025 Annual Nutrient Budget","Annual Nutrient Budget"),"")</f>
        <v>Post-2025 Annual Nutrient Budget</v>
      </c>
      <c r="D21" s="286"/>
      <c r="E21" s="13"/>
      <c r="F21" s="286" t="str">
        <f>IFERROR(IF(AND('Stage 1'!$D$9&lt;DATE(2025,1,1),OR((VLOOKUP('Stage 1'!$D$13,Lookups!$C$8:$G$13,2,FALSE))&gt;(VLOOKUP('Stage 1'!$D$13,Lookups!$C$8:$G$13,4,FALSE)),(VLOOKUP('Stage 1'!$D$13,Lookups!$C$8:$G$13,3,FALSE))&gt;(VLOOKUP('Stage 1'!$D$13,Lookups!$C$8:$G$13,5,FALSE)))),"Pre-2025 Annual Nutrient Budget",""),"")</f>
        <v>Pre-2025 Annual Nutrient Budget</v>
      </c>
      <c r="G21" s="286"/>
      <c r="H21" s="131"/>
    </row>
    <row r="22" spans="2:8" ht="15" customHeight="1" x14ac:dyDescent="0.3">
      <c r="B22" s="154"/>
      <c r="C22" s="287" t="s">
        <v>143</v>
      </c>
      <c r="D22" s="289" t="str">
        <f>IF(ROUND(D13,2)&lt;0,0&amp;" kg TP/year",ROUND(D13,2)&amp;" kg TP/year")</f>
        <v>0.06 kg TP/year</v>
      </c>
      <c r="E22" s="4"/>
      <c r="F22" s="287" t="str">
        <f>IFERROR(IF(AND('Stage 1'!$D$9&lt;DATE(2025,1,1),OR((VLOOKUP('Stage 1'!$D$13,Lookups!$C$8:$G$13,2,FALSE))&gt;(VLOOKUP('Stage 1'!$D$13,Lookups!$C$8:$G$13,4,FALSE)),(VLOOKUP('Stage 1'!$D$13,Lookups!$C$8:$G$13,3,FALSE))&gt;(VLOOKUP('Stage 1'!$D$13,Lookups!$C$8:$G$13,5,FALSE)))),"The pre-2025 annual phosphorus load to mitigate is:",""),"")</f>
        <v>The pre-2025 annual phosphorus load to mitigate is:</v>
      </c>
      <c r="G22" s="288"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0.11 kg TP/year</v>
      </c>
      <c r="H22" s="131"/>
    </row>
    <row r="23" spans="2:8" ht="15" customHeight="1" x14ac:dyDescent="0.3">
      <c r="B23" s="154"/>
      <c r="C23" s="287"/>
      <c r="D23" s="289"/>
      <c r="E23" s="4"/>
      <c r="F23" s="287"/>
      <c r="G23" s="288"/>
      <c r="H23" s="131"/>
    </row>
    <row r="24" spans="2:8" ht="15" customHeight="1" x14ac:dyDescent="0.3">
      <c r="B24" s="154"/>
      <c r="C24" s="287"/>
      <c r="D24" s="289"/>
      <c r="E24" s="4"/>
      <c r="F24" s="287"/>
      <c r="G24" s="288"/>
      <c r="H24" s="131"/>
    </row>
    <row r="25" spans="2:8" ht="15" customHeight="1" x14ac:dyDescent="0.3">
      <c r="B25" s="154"/>
      <c r="C25" s="287"/>
      <c r="D25" s="289"/>
      <c r="E25" s="4"/>
      <c r="F25" s="287"/>
      <c r="G25" s="288"/>
      <c r="H25" s="131"/>
    </row>
    <row r="26" spans="2:8" ht="15" customHeight="1" x14ac:dyDescent="0.3">
      <c r="B26" s="154"/>
      <c r="C26" s="30"/>
      <c r="D26" s="106"/>
      <c r="E26" s="4"/>
      <c r="F26" s="4"/>
      <c r="G26" s="4"/>
      <c r="H26" s="131"/>
    </row>
    <row r="27" spans="2:8" x14ac:dyDescent="0.3">
      <c r="B27" s="154"/>
      <c r="C27" s="30"/>
      <c r="D27" s="106"/>
      <c r="E27" s="4"/>
      <c r="F27" s="88"/>
      <c r="G27" s="4"/>
      <c r="H27" s="131"/>
    </row>
    <row r="28" spans="2:8" ht="15" customHeight="1" x14ac:dyDescent="0.3">
      <c r="B28" s="154"/>
      <c r="C28" s="287" t="s">
        <v>144</v>
      </c>
      <c r="D28" s="289" t="str">
        <f>IF(ROUND(D19,2)&lt;0,0&amp;" kg TN/year",ROUND(D19,2)&amp;" kg TN/year")</f>
        <v>3.14 kg TN/year</v>
      </c>
      <c r="E28" s="4"/>
      <c r="F28" s="287" t="str">
        <f>IFERROR(IF(AND('Stage 1'!$D$9&lt;DATE(2025,1,1),OR((VLOOKUP('Stage 1'!$D$13,Lookups!$C$8:$G$13,2,FALSE))&gt;(VLOOKUP('Stage 1'!$D$13,Lookups!$C$8:$G$13,4,FALSE)),(VLOOKUP('Stage 1'!$D$13,Lookups!$C$8:$G$13,3,FALSE))&gt;(VLOOKUP('Stage 1'!$D$13,Lookups!$C$8:$G$13,5,FALSE)))),"The pre-2025 annual nitrogen load to mitigate is:",""),"")</f>
        <v>The pre-2025 annual nitrogen load to mitigate is:</v>
      </c>
      <c r="G28" s="288"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3.14 kg TN/year</v>
      </c>
      <c r="H28" s="131"/>
    </row>
    <row r="29" spans="2:8" ht="15.75" customHeight="1" x14ac:dyDescent="0.3">
      <c r="B29" s="154"/>
      <c r="C29" s="287"/>
      <c r="D29" s="289"/>
      <c r="E29" s="4"/>
      <c r="F29" s="287"/>
      <c r="G29" s="288"/>
      <c r="H29" s="131"/>
    </row>
    <row r="30" spans="2:8" ht="15" customHeight="1" x14ac:dyDescent="0.3">
      <c r="B30" s="154"/>
      <c r="C30" s="287"/>
      <c r="D30" s="289"/>
      <c r="E30" s="4"/>
      <c r="F30" s="287"/>
      <c r="G30" s="288"/>
      <c r="H30" s="131"/>
    </row>
    <row r="31" spans="2:8" ht="15.75" customHeight="1" x14ac:dyDescent="0.3">
      <c r="B31" s="154"/>
      <c r="C31" s="287"/>
      <c r="D31" s="289"/>
      <c r="E31" s="4"/>
      <c r="F31" s="287"/>
      <c r="G31" s="288"/>
      <c r="H31" s="131"/>
    </row>
    <row r="32" spans="2:8" ht="15" thickBot="1" x14ac:dyDescent="0.35">
      <c r="B32" s="176"/>
      <c r="C32" s="157"/>
      <c r="D32" s="157"/>
      <c r="E32" s="157"/>
      <c r="F32" s="157"/>
      <c r="G32" s="157"/>
      <c r="H32" s="158"/>
    </row>
    <row r="33" ht="15" thickTop="1" x14ac:dyDescent="0.3"/>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A5: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5" spans="1:11" x14ac:dyDescent="0.3">
      <c r="B5" s="4"/>
      <c r="C5" s="4"/>
      <c r="D5" s="4"/>
      <c r="E5" s="4"/>
      <c r="F5" s="4"/>
      <c r="G5" s="4"/>
      <c r="H5" s="4"/>
      <c r="I5" s="4"/>
      <c r="J5" s="4"/>
      <c r="K5" s="4"/>
    </row>
    <row r="6" spans="1:11" ht="18" x14ac:dyDescent="0.3">
      <c r="A6" s="4"/>
      <c r="K6" s="7"/>
    </row>
    <row r="7" spans="1:11" ht="18" customHeight="1" x14ac:dyDescent="0.5">
      <c r="A7" s="4"/>
      <c r="F7" s="5"/>
      <c r="G7" s="6"/>
      <c r="H7" s="6"/>
      <c r="I7" s="5"/>
      <c r="K7" s="8"/>
    </row>
    <row r="8" spans="1:11" ht="12" customHeight="1" x14ac:dyDescent="0.5">
      <c r="A8" s="4"/>
      <c r="F8" s="3"/>
      <c r="G8" s="3"/>
      <c r="H8" s="3"/>
      <c r="I8" s="10"/>
      <c r="K8" s="8"/>
    </row>
    <row r="9" spans="1:11" ht="18.600000000000001" thickBot="1" x14ac:dyDescent="0.55000000000000004">
      <c r="A9" s="4"/>
      <c r="B9" s="15" t="s">
        <v>92</v>
      </c>
      <c r="D9" s="23"/>
      <c r="E9" s="290" t="s">
        <v>135</v>
      </c>
      <c r="G9" s="3"/>
      <c r="H9" s="3"/>
      <c r="I9" s="10"/>
      <c r="K9" s="8"/>
    </row>
    <row r="10" spans="1:11" ht="21" customHeight="1" thickTop="1" thickBot="1" x14ac:dyDescent="0.55000000000000004">
      <c r="A10" s="4"/>
      <c r="B10" s="16" t="s">
        <v>91</v>
      </c>
      <c r="D10" s="25"/>
      <c r="E10" s="290"/>
      <c r="G10" s="3"/>
      <c r="H10" s="3" t="s">
        <v>136</v>
      </c>
      <c r="I10" s="10"/>
      <c r="J10" s="7"/>
      <c r="K10" s="9"/>
    </row>
    <row r="11" spans="1:11" ht="19.2" thickTop="1" thickBot="1" x14ac:dyDescent="0.35">
      <c r="A11" s="4"/>
      <c r="B11" s="17" t="s">
        <v>90</v>
      </c>
      <c r="D11" s="26"/>
      <c r="E11" s="290"/>
      <c r="G11" s="8"/>
      <c r="H11" s="8" t="b">
        <f>IF(C33&lt;0,"Well done, you're in the clear…,""")</f>
        <v>0</v>
      </c>
      <c r="I11" s="8"/>
      <c r="J11" s="8"/>
      <c r="K11" s="9"/>
    </row>
    <row r="12" spans="1:11" ht="29.25" customHeight="1" thickTop="1" x14ac:dyDescent="0.3">
      <c r="B12" s="18" t="s">
        <v>89</v>
      </c>
      <c r="D12" s="27"/>
      <c r="E12" s="290"/>
      <c r="G12" s="9"/>
      <c r="H12" s="9" t="s">
        <v>137</v>
      </c>
      <c r="I12" s="9"/>
      <c r="J12" s="9"/>
    </row>
    <row r="13" spans="1:11" ht="11.25" customHeight="1" x14ac:dyDescent="0.3">
      <c r="B13" s="23"/>
      <c r="C13" s="23"/>
      <c r="D13" s="23"/>
      <c r="E13" s="23"/>
      <c r="F13" s="58"/>
    </row>
    <row r="14" spans="1:11" x14ac:dyDescent="0.3">
      <c r="B14" s="23"/>
      <c r="C14" s="23"/>
      <c r="D14" s="23"/>
      <c r="E14" s="23"/>
      <c r="F14" s="58"/>
    </row>
    <row r="15" spans="1:11" ht="15" thickBot="1" x14ac:dyDescent="0.35">
      <c r="B15" s="15" t="s">
        <v>85</v>
      </c>
      <c r="C15" s="55">
        <f>'Stage 1'!D34</f>
        <v>2.6035019999999998</v>
      </c>
      <c r="D15" s="23"/>
      <c r="E15" s="290" t="s">
        <v>134</v>
      </c>
    </row>
    <row r="16" spans="1:11" ht="15.6" thickTop="1" thickBot="1" x14ac:dyDescent="0.35">
      <c r="B16" s="16" t="s">
        <v>86</v>
      </c>
      <c r="C16" s="24">
        <f>'Stage 3'!F27-'Stage 2'!F32</f>
        <v>1.6915400338649966E-2</v>
      </c>
      <c r="D16" s="23"/>
      <c r="E16" s="290"/>
    </row>
    <row r="17" spans="2:7" ht="15.6" thickTop="1" thickBot="1" x14ac:dyDescent="0.35">
      <c r="B17" s="17" t="s">
        <v>87</v>
      </c>
      <c r="C17" s="56">
        <f>C15+C16</f>
        <v>2.6204174003386496</v>
      </c>
      <c r="D17" s="19"/>
      <c r="E17" s="290"/>
      <c r="G17" s="4"/>
    </row>
    <row r="18" spans="2:7" ht="15" thickTop="1" x14ac:dyDescent="0.3">
      <c r="B18" s="18" t="s">
        <v>88</v>
      </c>
      <c r="C18" s="57">
        <f>C17*1.2</f>
        <v>3.1445008804063792</v>
      </c>
      <c r="D18" s="19"/>
      <c r="E18" s="290"/>
      <c r="G18" s="4"/>
    </row>
    <row r="19" spans="2:7" ht="18" x14ac:dyDescent="0.3">
      <c r="B19" s="10"/>
      <c r="C19" s="12"/>
      <c r="D19" s="13"/>
      <c r="G19" s="4"/>
    </row>
    <row r="20" spans="2:7" ht="18" x14ac:dyDescent="0.3">
      <c r="B20" s="10"/>
      <c r="C20" s="12"/>
      <c r="D20" s="13"/>
      <c r="G20" s="4"/>
    </row>
    <row r="21" spans="2:7" ht="18" x14ac:dyDescent="0.3">
      <c r="B21" s="10"/>
      <c r="C21" s="13"/>
      <c r="D21" s="13"/>
      <c r="G21" s="4"/>
    </row>
    <row r="22" spans="2:7" ht="18" x14ac:dyDescent="0.3">
      <c r="B22" s="11"/>
      <c r="C22" s="14"/>
      <c r="D22" s="14"/>
      <c r="G22" s="4"/>
    </row>
    <row r="23" spans="2:7" x14ac:dyDescent="0.3">
      <c r="G23" s="4"/>
    </row>
    <row r="24" spans="2:7" ht="15" thickBot="1" x14ac:dyDescent="0.35">
      <c r="C24" s="55">
        <f>'Stage 1'!D29</f>
        <v>5.2070039999999998E-2</v>
      </c>
      <c r="F24" s="289">
        <f>C33</f>
        <v>6.4663854983508004E-2</v>
      </c>
    </row>
    <row r="25" spans="2:7" ht="15" thickTop="1" x14ac:dyDescent="0.3">
      <c r="F25" s="289"/>
    </row>
    <row r="26" spans="2:7" x14ac:dyDescent="0.3">
      <c r="F26" s="289"/>
    </row>
    <row r="27" spans="2:7" ht="15" thickBot="1" x14ac:dyDescent="0.35">
      <c r="C27" s="24">
        <f>'Stage 3'!E27-'Stage 2'!E32</f>
        <v>1.816505819590003E-3</v>
      </c>
      <c r="F27" s="289"/>
    </row>
    <row r="28" spans="2:7" ht="15" thickTop="1" x14ac:dyDescent="0.3"/>
    <row r="29" spans="2:7" ht="15" thickBot="1" x14ac:dyDescent="0.35">
      <c r="F29" s="291">
        <f>C18</f>
        <v>3.1445008804063792</v>
      </c>
    </row>
    <row r="30" spans="2:7" ht="15.6" thickTop="1" thickBot="1" x14ac:dyDescent="0.35">
      <c r="C30" s="56">
        <f>C24+C27</f>
        <v>5.3886545819590001E-2</v>
      </c>
      <c r="F30" s="291"/>
    </row>
    <row r="31" spans="2:7" ht="15" thickTop="1" x14ac:dyDescent="0.3">
      <c r="F31" s="291"/>
    </row>
    <row r="32" spans="2:7" ht="15" thickBot="1" x14ac:dyDescent="0.35">
      <c r="F32" s="291"/>
    </row>
    <row r="33" spans="3:3" ht="15" thickTop="1" x14ac:dyDescent="0.3">
      <c r="C33" s="57">
        <f>C30*1.2</f>
        <v>6.4663854983508004E-2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94"/>
  <sheetViews>
    <sheetView showRowColHeaders="0" zoomScaleNormal="100" workbookViewId="0">
      <selection activeCell="H134" sqref="H134"/>
    </sheetView>
  </sheetViews>
  <sheetFormatPr defaultColWidth="9.109375" defaultRowHeight="14.4" x14ac:dyDescent="0.3"/>
  <cols>
    <col min="1" max="1" width="9.109375" style="160"/>
    <col min="2" max="2" width="4.88671875" style="160" customWidth="1"/>
    <col min="3" max="3" width="44.44140625" style="160" bestFit="1" customWidth="1"/>
    <col min="4" max="4" width="31.33203125" style="160" bestFit="1" customWidth="1"/>
    <col min="5" max="5" width="34" style="160" customWidth="1"/>
    <col min="6" max="6" width="31.5546875" style="160" customWidth="1"/>
    <col min="7" max="7" width="41.88671875" style="160" customWidth="1"/>
    <col min="8" max="8" width="51.33203125" style="160" customWidth="1"/>
    <col min="9" max="9" width="46.5546875" style="160" customWidth="1"/>
    <col min="10" max="10" width="39.88671875" style="160" bestFit="1" customWidth="1"/>
    <col min="11" max="11" width="36.88671875" style="160" customWidth="1"/>
    <col min="12" max="12" width="38.109375" style="160" bestFit="1" customWidth="1"/>
    <col min="13" max="15" width="28" style="160" customWidth="1"/>
    <col min="16" max="16" width="9" style="160" customWidth="1"/>
    <col min="17" max="16384" width="9.109375" style="160"/>
  </cols>
  <sheetData>
    <row r="1" spans="2:16" ht="35.25" customHeight="1" thickBot="1" x14ac:dyDescent="0.35"/>
    <row r="2" spans="2:16" ht="15" thickTop="1" x14ac:dyDescent="0.3">
      <c r="B2" s="282" t="s">
        <v>213</v>
      </c>
      <c r="C2" s="283"/>
      <c r="D2" s="283"/>
      <c r="E2" s="283"/>
      <c r="F2" s="283"/>
      <c r="G2" s="283"/>
      <c r="H2" s="283"/>
      <c r="I2" s="283"/>
      <c r="J2" s="283"/>
      <c r="K2" s="283"/>
      <c r="L2" s="283"/>
      <c r="M2" s="283"/>
      <c r="N2" s="283"/>
      <c r="O2" s="283"/>
      <c r="P2" s="284"/>
    </row>
    <row r="3" spans="2:16" x14ac:dyDescent="0.3">
      <c r="B3" s="271"/>
      <c r="C3" s="272"/>
      <c r="D3" s="272"/>
      <c r="E3" s="272"/>
      <c r="F3" s="272"/>
      <c r="G3" s="272"/>
      <c r="H3" s="272"/>
      <c r="I3" s="272"/>
      <c r="J3" s="272"/>
      <c r="K3" s="272"/>
      <c r="L3" s="272"/>
      <c r="M3" s="272"/>
      <c r="N3" s="272"/>
      <c r="O3" s="272"/>
      <c r="P3" s="273"/>
    </row>
    <row r="4" spans="2:16" x14ac:dyDescent="0.3">
      <c r="B4" s="271"/>
      <c r="C4" s="272"/>
      <c r="D4" s="272"/>
      <c r="E4" s="272"/>
      <c r="F4" s="272"/>
      <c r="G4" s="272"/>
      <c r="H4" s="272"/>
      <c r="I4" s="272"/>
      <c r="J4" s="272"/>
      <c r="K4" s="272"/>
      <c r="L4" s="272"/>
      <c r="M4" s="272"/>
      <c r="N4" s="272"/>
      <c r="O4" s="272"/>
      <c r="P4" s="273"/>
    </row>
    <row r="5" spans="2:16" x14ac:dyDescent="0.3">
      <c r="B5" s="154"/>
      <c r="C5" s="30"/>
      <c r="D5" s="30"/>
      <c r="E5" s="30"/>
      <c r="F5" s="30"/>
      <c r="G5" s="30"/>
      <c r="H5" s="30"/>
      <c r="I5" s="4"/>
      <c r="J5" s="30"/>
      <c r="K5" s="30"/>
      <c r="L5" s="30"/>
      <c r="M5" s="30"/>
      <c r="N5" s="30"/>
      <c r="O5" s="30"/>
      <c r="P5" s="156"/>
    </row>
    <row r="6" spans="2:16" x14ac:dyDescent="0.3">
      <c r="B6" s="154"/>
      <c r="C6" s="30" t="s">
        <v>114</v>
      </c>
      <c r="D6" s="4"/>
      <c r="E6" s="30"/>
      <c r="F6" s="30"/>
      <c r="G6" s="30"/>
      <c r="H6" s="30"/>
      <c r="I6" s="4"/>
      <c r="J6" s="30"/>
      <c r="K6" s="30"/>
      <c r="L6" s="30"/>
      <c r="M6" s="30"/>
      <c r="N6" s="30"/>
      <c r="O6" s="30"/>
      <c r="P6" s="156"/>
    </row>
    <row r="7" spans="2:16" ht="28.2" thickBot="1" x14ac:dyDescent="0.35">
      <c r="B7" s="154"/>
      <c r="C7" s="36" t="s">
        <v>99</v>
      </c>
      <c r="D7" s="50" t="s">
        <v>200</v>
      </c>
      <c r="E7" s="50" t="s">
        <v>233</v>
      </c>
      <c r="F7" s="50" t="s">
        <v>199</v>
      </c>
      <c r="G7" s="153" t="s">
        <v>234</v>
      </c>
      <c r="H7" s="28"/>
      <c r="I7" s="218"/>
      <c r="J7" s="28"/>
      <c r="K7" s="28"/>
      <c r="L7" s="28"/>
      <c r="M7" s="28"/>
      <c r="N7" s="28"/>
      <c r="O7" s="28"/>
      <c r="P7" s="156"/>
    </row>
    <row r="8" spans="2:16" ht="15" thickTop="1" x14ac:dyDescent="0.3">
      <c r="B8" s="154"/>
      <c r="C8" s="219" t="s">
        <v>100</v>
      </c>
      <c r="D8" s="47">
        <v>1</v>
      </c>
      <c r="E8" s="47">
        <v>27</v>
      </c>
      <c r="F8" s="47">
        <v>0.6</v>
      </c>
      <c r="G8" s="40">
        <v>27</v>
      </c>
      <c r="H8" s="28"/>
      <c r="I8" s="218"/>
      <c r="J8" s="28"/>
      <c r="K8" s="28"/>
      <c r="L8" s="28"/>
      <c r="M8" s="28"/>
      <c r="N8" s="28"/>
      <c r="O8" s="28"/>
      <c r="P8" s="156"/>
    </row>
    <row r="9" spans="2:16" x14ac:dyDescent="0.3">
      <c r="B9" s="154"/>
      <c r="C9" s="219" t="s">
        <v>103</v>
      </c>
      <c r="D9" s="47">
        <v>1</v>
      </c>
      <c r="E9" s="47">
        <v>27</v>
      </c>
      <c r="F9" s="47">
        <v>0.25</v>
      </c>
      <c r="G9" s="40">
        <v>27</v>
      </c>
      <c r="H9" s="28"/>
      <c r="I9" s="28"/>
      <c r="J9" s="28"/>
      <c r="K9" s="28"/>
      <c r="L9" s="28"/>
      <c r="M9" s="28"/>
      <c r="N9" s="28"/>
      <c r="O9" s="28"/>
      <c r="P9" s="156"/>
    </row>
    <row r="10" spans="2:16" x14ac:dyDescent="0.3">
      <c r="B10" s="154"/>
      <c r="C10" s="219" t="s">
        <v>101</v>
      </c>
      <c r="D10" s="47">
        <v>1</v>
      </c>
      <c r="E10" s="47">
        <v>27</v>
      </c>
      <c r="F10" s="47">
        <v>1</v>
      </c>
      <c r="G10" s="40">
        <v>27</v>
      </c>
      <c r="H10" s="28"/>
      <c r="I10" s="218"/>
      <c r="J10" s="28"/>
      <c r="K10" s="28"/>
      <c r="L10" s="28"/>
      <c r="M10" s="28"/>
      <c r="N10" s="28"/>
      <c r="O10" s="28"/>
      <c r="P10" s="156"/>
    </row>
    <row r="11" spans="2:16" x14ac:dyDescent="0.3">
      <c r="B11" s="154"/>
      <c r="C11" s="219" t="s">
        <v>102</v>
      </c>
      <c r="D11" s="47">
        <v>8</v>
      </c>
      <c r="E11" s="47">
        <v>25</v>
      </c>
      <c r="F11" s="47">
        <v>8</v>
      </c>
      <c r="G11" s="40">
        <v>25</v>
      </c>
      <c r="H11" s="28"/>
      <c r="I11" s="218"/>
      <c r="J11" s="28"/>
      <c r="K11" s="28"/>
      <c r="L11" s="28"/>
      <c r="M11" s="28"/>
      <c r="N11" s="28"/>
      <c r="O11" s="28"/>
      <c r="P11" s="156"/>
    </row>
    <row r="12" spans="2:16" x14ac:dyDescent="0.3">
      <c r="B12" s="154"/>
      <c r="C12" s="219" t="s">
        <v>111</v>
      </c>
      <c r="D12" s="47">
        <v>9.6999999999999993</v>
      </c>
      <c r="E12" s="47">
        <v>72.900000000000006</v>
      </c>
      <c r="F12" s="47">
        <v>9.6999999999999993</v>
      </c>
      <c r="G12" s="44">
        <v>72.900000000000006</v>
      </c>
      <c r="H12" s="28"/>
      <c r="I12" s="218"/>
      <c r="J12" s="28"/>
      <c r="K12" s="28"/>
      <c r="L12" s="28"/>
      <c r="M12" s="28"/>
      <c r="N12" s="28"/>
      <c r="O12" s="28"/>
      <c r="P12" s="156"/>
    </row>
    <row r="13" spans="2:16" x14ac:dyDescent="0.3">
      <c r="B13" s="154"/>
      <c r="C13" s="219" t="s">
        <v>104</v>
      </c>
      <c r="D13" s="47">
        <v>11.6</v>
      </c>
      <c r="E13" s="47">
        <v>96.3</v>
      </c>
      <c r="F13" s="47">
        <v>11.6</v>
      </c>
      <c r="G13" s="44">
        <v>96.3</v>
      </c>
      <c r="H13" s="28"/>
      <c r="I13" s="218"/>
      <c r="J13" s="28"/>
      <c r="K13" s="28"/>
      <c r="L13" s="28"/>
      <c r="M13" s="28"/>
      <c r="N13" s="28"/>
      <c r="O13" s="28"/>
      <c r="P13" s="156"/>
    </row>
    <row r="14" spans="2:16" x14ac:dyDescent="0.3">
      <c r="B14" s="154"/>
      <c r="C14" s="219" t="s">
        <v>112</v>
      </c>
      <c r="D14" s="47"/>
      <c r="E14" s="47"/>
      <c r="F14" s="47"/>
      <c r="G14" s="40"/>
      <c r="H14" s="218"/>
      <c r="I14" s="218"/>
      <c r="J14" s="28"/>
      <c r="K14" s="28"/>
      <c r="L14" s="28"/>
      <c r="M14" s="28"/>
      <c r="N14" s="28"/>
      <c r="O14" s="28"/>
      <c r="P14" s="156"/>
    </row>
    <row r="15" spans="2:16" x14ac:dyDescent="0.3">
      <c r="B15" s="154"/>
      <c r="C15" s="219" t="s">
        <v>113</v>
      </c>
      <c r="D15" s="47"/>
      <c r="E15" s="47"/>
      <c r="F15" s="47"/>
      <c r="G15" s="40"/>
      <c r="H15" s="28"/>
      <c r="I15" s="218"/>
      <c r="J15" s="28"/>
      <c r="K15" s="28"/>
      <c r="L15" s="28"/>
      <c r="M15" s="28"/>
      <c r="N15" s="28"/>
      <c r="O15" s="28"/>
      <c r="P15" s="156"/>
    </row>
    <row r="16" spans="2:16" x14ac:dyDescent="0.3">
      <c r="B16" s="154"/>
      <c r="C16" s="28"/>
      <c r="D16" s="218"/>
      <c r="E16" s="28"/>
      <c r="F16" s="28"/>
      <c r="G16" s="28"/>
      <c r="H16" s="28"/>
      <c r="I16" s="218"/>
      <c r="J16" s="28"/>
      <c r="K16" s="28"/>
      <c r="L16" s="28"/>
      <c r="M16" s="28"/>
      <c r="N16" s="28"/>
      <c r="O16" s="28"/>
      <c r="P16" s="156"/>
    </row>
    <row r="17" spans="2:16" x14ac:dyDescent="0.3">
      <c r="B17" s="154"/>
      <c r="C17" s="28" t="s">
        <v>126</v>
      </c>
      <c r="D17" s="28"/>
      <c r="E17" s="28"/>
      <c r="F17" s="28"/>
      <c r="G17" s="28"/>
      <c r="H17" s="28"/>
      <c r="I17" s="28"/>
      <c r="J17" s="28"/>
      <c r="K17" s="28"/>
      <c r="L17" s="28"/>
      <c r="M17" s="28"/>
      <c r="N17" s="28"/>
      <c r="O17" s="28"/>
      <c r="P17" s="156"/>
    </row>
    <row r="18" spans="2:16" ht="28.2" thickBot="1" x14ac:dyDescent="0.35">
      <c r="B18" s="154"/>
      <c r="C18" s="36" t="s">
        <v>0</v>
      </c>
      <c r="D18" s="36" t="s">
        <v>1</v>
      </c>
      <c r="E18" s="36" t="s">
        <v>93</v>
      </c>
      <c r="F18" s="36" t="s">
        <v>2</v>
      </c>
      <c r="G18" s="36" t="s">
        <v>3</v>
      </c>
      <c r="H18" s="36" t="s">
        <v>4</v>
      </c>
      <c r="I18" s="36" t="s">
        <v>223</v>
      </c>
      <c r="J18" s="50" t="s">
        <v>96</v>
      </c>
      <c r="K18" s="36" t="s">
        <v>217</v>
      </c>
      <c r="L18" s="43" t="s">
        <v>196</v>
      </c>
      <c r="M18" s="50" t="s">
        <v>197</v>
      </c>
      <c r="N18" s="36" t="s">
        <v>194</v>
      </c>
      <c r="O18" s="153" t="s">
        <v>195</v>
      </c>
      <c r="P18" s="131"/>
    </row>
    <row r="19" spans="2:16" ht="17.25" customHeight="1" thickTop="1" x14ac:dyDescent="0.3">
      <c r="B19" s="154"/>
      <c r="C19" s="220" t="s">
        <v>82</v>
      </c>
      <c r="D19" s="220" t="s">
        <v>7</v>
      </c>
      <c r="E19" s="220" t="b">
        <v>1</v>
      </c>
      <c r="F19" s="220" t="s">
        <v>12</v>
      </c>
      <c r="G19" s="220" t="s">
        <v>9</v>
      </c>
      <c r="H19" s="37" t="str">
        <f>C19&amp;"|"&amp;D19&amp;"|"&amp;E19&amp;"|"&amp;F19&amp;"|"&amp;G19</f>
        <v>Itchen|Cereals|TRUE|700to900|FreeDrain</v>
      </c>
      <c r="I19" s="211">
        <v>0.1</v>
      </c>
      <c r="J19" s="52">
        <v>28.76</v>
      </c>
      <c r="K19" s="37" t="str">
        <f t="shared" ref="K19:K42" si="0">D19&amp;"|"&amp;F19</f>
        <v>Cereals|700to900</v>
      </c>
      <c r="L19" s="48">
        <f>AVERAGE(I19:I21)</f>
        <v>0.58333333333333337</v>
      </c>
      <c r="M19" s="211">
        <f>AVERAGE(J19:J21)</f>
        <v>23.810000000000002</v>
      </c>
      <c r="N19" s="53">
        <f>AVERAGE(I19:I22)</f>
        <v>0.48249999999999998</v>
      </c>
      <c r="O19" s="38">
        <f>AVERAGE(J19:J22)</f>
        <v>25.5</v>
      </c>
      <c r="P19" s="131"/>
    </row>
    <row r="20" spans="2:16" x14ac:dyDescent="0.3">
      <c r="B20" s="154"/>
      <c r="C20" s="220" t="s">
        <v>82</v>
      </c>
      <c r="D20" s="220" t="s">
        <v>7</v>
      </c>
      <c r="E20" s="220" t="b">
        <v>1</v>
      </c>
      <c r="F20" s="220" t="s">
        <v>12</v>
      </c>
      <c r="G20" s="220" t="s">
        <v>10</v>
      </c>
      <c r="H20" s="37" t="str">
        <f t="shared" ref="H20:H42" si="1">C20&amp;"|"&amp;D20&amp;"|"&amp;E20&amp;"|"&amp;F20&amp;"|"&amp;G20</f>
        <v>Itchen|Cereals|TRUE|700to900|DrainedAr</v>
      </c>
      <c r="I20" s="151">
        <v>0.7</v>
      </c>
      <c r="J20" s="53">
        <v>22.06</v>
      </c>
      <c r="K20" s="37" t="str">
        <f t="shared" si="0"/>
        <v>Cereals|700to900</v>
      </c>
      <c r="L20" s="151">
        <f>AVERAGE(I19:I21)</f>
        <v>0.58333333333333337</v>
      </c>
      <c r="M20" s="151">
        <f>AVERAGE(J19:J21)</f>
        <v>23.810000000000002</v>
      </c>
      <c r="N20" s="53"/>
      <c r="O20" s="38"/>
      <c r="P20" s="131"/>
    </row>
    <row r="21" spans="2:16" x14ac:dyDescent="0.3">
      <c r="B21" s="154"/>
      <c r="C21" s="220" t="s">
        <v>82</v>
      </c>
      <c r="D21" s="220" t="s">
        <v>7</v>
      </c>
      <c r="E21" s="220" t="b">
        <v>1</v>
      </c>
      <c r="F21" s="220" t="s">
        <v>12</v>
      </c>
      <c r="G21" s="220" t="s">
        <v>11</v>
      </c>
      <c r="H21" s="37" t="str">
        <f t="shared" si="1"/>
        <v>Itchen|Cereals|TRUE|700to900|DrainedArGr</v>
      </c>
      <c r="I21" s="151">
        <v>0.95</v>
      </c>
      <c r="J21" s="53">
        <v>20.61</v>
      </c>
      <c r="K21" s="37" t="str">
        <f t="shared" si="0"/>
        <v>Cereals|700to900</v>
      </c>
      <c r="L21" s="209">
        <f>AVERAGE(I19:I21)</f>
        <v>0.58333333333333337</v>
      </c>
      <c r="M21" s="209">
        <f>AVERAGE(J19:J21)</f>
        <v>23.810000000000002</v>
      </c>
      <c r="N21" s="212"/>
      <c r="O21" s="210"/>
      <c r="P21" s="131"/>
    </row>
    <row r="22" spans="2:16" x14ac:dyDescent="0.3">
      <c r="B22" s="154"/>
      <c r="C22" s="220" t="s">
        <v>82</v>
      </c>
      <c r="D22" s="220" t="s">
        <v>7</v>
      </c>
      <c r="E22" s="220" t="b">
        <v>1</v>
      </c>
      <c r="F22" s="220" t="s">
        <v>22</v>
      </c>
      <c r="G22" s="220" t="s">
        <v>9</v>
      </c>
      <c r="H22" s="37" t="str">
        <f t="shared" si="1"/>
        <v>Itchen|Cereals|TRUE|900to1200|FreeDrain</v>
      </c>
      <c r="I22" s="151">
        <v>0.18</v>
      </c>
      <c r="J22" s="53">
        <v>30.57</v>
      </c>
      <c r="K22" s="37" t="str">
        <f t="shared" si="0"/>
        <v>Cereals|900to1200</v>
      </c>
      <c r="L22" s="151">
        <f>AVERAGE(I22,I46)</f>
        <v>0.67999999999999994</v>
      </c>
      <c r="M22" s="151">
        <f>AVERAGE(J22,J46)</f>
        <v>28.689999999999998</v>
      </c>
      <c r="N22" s="53"/>
      <c r="O22" s="38"/>
      <c r="P22" s="131"/>
    </row>
    <row r="23" spans="2:16" x14ac:dyDescent="0.3">
      <c r="B23" s="154"/>
      <c r="C23" s="220" t="s">
        <v>82</v>
      </c>
      <c r="D23" s="220" t="s">
        <v>25</v>
      </c>
      <c r="E23" s="220" t="b">
        <v>1</v>
      </c>
      <c r="F23" s="220" t="s">
        <v>12</v>
      </c>
      <c r="G23" s="220" t="s">
        <v>9</v>
      </c>
      <c r="H23" s="37" t="str">
        <f t="shared" si="1"/>
        <v>Itchen|General|TRUE|700to900|FreeDrain</v>
      </c>
      <c r="I23" s="151">
        <v>0.08</v>
      </c>
      <c r="J23" s="53">
        <v>21.65</v>
      </c>
      <c r="K23" s="37" t="str">
        <f t="shared" si="0"/>
        <v>General|700to900</v>
      </c>
      <c r="L23" s="151">
        <f>AVERAGE(I23:I25)</f>
        <v>0.43333333333333329</v>
      </c>
      <c r="M23" s="151">
        <f>AVERAGE(J23:J25)</f>
        <v>17.546666666666663</v>
      </c>
      <c r="N23" s="53">
        <f>AVERAGE(I23:I26)</f>
        <v>0.36</v>
      </c>
      <c r="O23" s="38">
        <f>AVERAGE(J23:J26)</f>
        <v>18.954999999999998</v>
      </c>
      <c r="P23" s="131"/>
    </row>
    <row r="24" spans="2:16" x14ac:dyDescent="0.3">
      <c r="B24" s="154"/>
      <c r="C24" s="220" t="s">
        <v>82</v>
      </c>
      <c r="D24" s="220" t="s">
        <v>25</v>
      </c>
      <c r="E24" s="220" t="b">
        <v>1</v>
      </c>
      <c r="F24" s="220" t="s">
        <v>12</v>
      </c>
      <c r="G24" s="220" t="s">
        <v>10</v>
      </c>
      <c r="H24" s="37" t="str">
        <f t="shared" si="1"/>
        <v>Itchen|General|TRUE|700to900|DrainedAr</v>
      </c>
      <c r="I24" s="151">
        <v>0.49</v>
      </c>
      <c r="J24" s="53">
        <v>16.23</v>
      </c>
      <c r="K24" s="37" t="str">
        <f t="shared" si="0"/>
        <v>General|700to900</v>
      </c>
      <c r="L24" s="151">
        <f>AVERAGE(I23:I25)</f>
        <v>0.43333333333333329</v>
      </c>
      <c r="M24" s="151">
        <f>AVERAGE(J23:J25)</f>
        <v>17.546666666666663</v>
      </c>
      <c r="N24" s="53"/>
      <c r="O24" s="38"/>
      <c r="P24" s="131"/>
    </row>
    <row r="25" spans="2:16" x14ac:dyDescent="0.3">
      <c r="B25" s="154"/>
      <c r="C25" s="220" t="s">
        <v>82</v>
      </c>
      <c r="D25" s="220" t="s">
        <v>25</v>
      </c>
      <c r="E25" s="220" t="b">
        <v>1</v>
      </c>
      <c r="F25" s="220" t="s">
        <v>12</v>
      </c>
      <c r="G25" s="220" t="s">
        <v>11</v>
      </c>
      <c r="H25" s="37" t="str">
        <f t="shared" si="1"/>
        <v>Itchen|General|TRUE|700to900|DrainedArGr</v>
      </c>
      <c r="I25" s="151">
        <v>0.73</v>
      </c>
      <c r="J25" s="53">
        <v>14.76</v>
      </c>
      <c r="K25" s="37" t="str">
        <f t="shared" si="0"/>
        <v>General|700to900</v>
      </c>
      <c r="L25" s="209">
        <f>AVERAGE(I23:I25)</f>
        <v>0.43333333333333329</v>
      </c>
      <c r="M25" s="209">
        <f>AVERAGE(J23:J25)</f>
        <v>17.546666666666663</v>
      </c>
      <c r="N25" s="212"/>
      <c r="O25" s="210"/>
      <c r="P25" s="131"/>
    </row>
    <row r="26" spans="2:16" x14ac:dyDescent="0.3">
      <c r="B26" s="154"/>
      <c r="C26" s="220" t="s">
        <v>82</v>
      </c>
      <c r="D26" s="220" t="s">
        <v>25</v>
      </c>
      <c r="E26" s="220" t="b">
        <v>1</v>
      </c>
      <c r="F26" s="220" t="s">
        <v>22</v>
      </c>
      <c r="G26" s="220" t="s">
        <v>9</v>
      </c>
      <c r="H26" s="37" t="str">
        <f t="shared" si="1"/>
        <v>Itchen|General|TRUE|900to1200|FreeDrain</v>
      </c>
      <c r="I26" s="151">
        <v>0.14000000000000001</v>
      </c>
      <c r="J26" s="53">
        <v>23.18</v>
      </c>
      <c r="K26" s="37" t="str">
        <f t="shared" si="0"/>
        <v>General|900to1200</v>
      </c>
      <c r="L26" s="151">
        <f>AVERAGE(I26,I50:I51)</f>
        <v>0.66</v>
      </c>
      <c r="M26" s="151">
        <f>AVERAGE(J26,J50:J51)</f>
        <v>18.14</v>
      </c>
      <c r="N26" s="53"/>
      <c r="O26" s="38"/>
      <c r="P26" s="131"/>
    </row>
    <row r="27" spans="2:16" x14ac:dyDescent="0.3">
      <c r="B27" s="154"/>
      <c r="C27" s="220" t="s">
        <v>82</v>
      </c>
      <c r="D27" s="220" t="s">
        <v>32</v>
      </c>
      <c r="E27" s="220" t="b">
        <v>1</v>
      </c>
      <c r="F27" s="220" t="s">
        <v>12</v>
      </c>
      <c r="G27" s="220" t="s">
        <v>9</v>
      </c>
      <c r="H27" s="37" t="str">
        <f t="shared" si="1"/>
        <v>Itchen|Horticulture|TRUE|700to900|FreeDrain</v>
      </c>
      <c r="I27" s="151">
        <v>0.09</v>
      </c>
      <c r="J27" s="53">
        <v>21.82</v>
      </c>
      <c r="K27" s="37" t="str">
        <f t="shared" si="0"/>
        <v>Horticulture|700to900</v>
      </c>
      <c r="L27" s="151">
        <f>AVERAGE(I27,I28)</f>
        <v>0.47</v>
      </c>
      <c r="M27" s="151">
        <f>AVERAGE(J27,J28)</f>
        <v>18.11</v>
      </c>
      <c r="N27" s="53">
        <f>AVERAGE(I27:I29)</f>
        <v>0.36666666666666664</v>
      </c>
      <c r="O27" s="38">
        <f>AVERAGE(J27:J29)</f>
        <v>19.88</v>
      </c>
      <c r="P27" s="131"/>
    </row>
    <row r="28" spans="2:16" x14ac:dyDescent="0.3">
      <c r="B28" s="154"/>
      <c r="C28" s="220" t="s">
        <v>82</v>
      </c>
      <c r="D28" s="220" t="s">
        <v>32</v>
      </c>
      <c r="E28" s="220" t="b">
        <v>1</v>
      </c>
      <c r="F28" s="220" t="s">
        <v>12</v>
      </c>
      <c r="G28" s="220" t="s">
        <v>11</v>
      </c>
      <c r="H28" s="37" t="str">
        <f t="shared" si="1"/>
        <v>Itchen|Horticulture|TRUE|700to900|DrainedArGr</v>
      </c>
      <c r="I28" s="151">
        <v>0.85</v>
      </c>
      <c r="J28" s="53">
        <v>14.4</v>
      </c>
      <c r="K28" s="37" t="str">
        <f t="shared" si="0"/>
        <v>Horticulture|700to900</v>
      </c>
      <c r="L28" s="49">
        <f>AVERAGE(I27,I28)</f>
        <v>0.47</v>
      </c>
      <c r="M28" s="151">
        <f>AVERAGE(J27,J28)</f>
        <v>18.11</v>
      </c>
      <c r="N28" s="53"/>
      <c r="O28" s="38"/>
      <c r="P28" s="131"/>
    </row>
    <row r="29" spans="2:16" x14ac:dyDescent="0.3">
      <c r="B29" s="154"/>
      <c r="C29" s="220" t="s">
        <v>82</v>
      </c>
      <c r="D29" s="220" t="s">
        <v>32</v>
      </c>
      <c r="E29" s="220" t="b">
        <v>1</v>
      </c>
      <c r="F29" s="220" t="s">
        <v>22</v>
      </c>
      <c r="G29" s="220" t="s">
        <v>9</v>
      </c>
      <c r="H29" s="37" t="str">
        <f t="shared" si="1"/>
        <v>Itchen|Horticulture|TRUE|900to1200|FreeDrain</v>
      </c>
      <c r="I29" s="151">
        <v>0.16</v>
      </c>
      <c r="J29" s="53">
        <v>23.42</v>
      </c>
      <c r="K29" s="37" t="str">
        <f t="shared" si="0"/>
        <v>Horticulture|900to1200</v>
      </c>
      <c r="L29" s="49">
        <f>AVERAGE(I29,I55:I56)</f>
        <v>0.79999999999999993</v>
      </c>
      <c r="M29" s="151">
        <f>AVERAGE(J29,J55:J56)</f>
        <v>19.103333333333335</v>
      </c>
      <c r="N29" s="53"/>
      <c r="O29" s="38"/>
      <c r="P29" s="131"/>
    </row>
    <row r="30" spans="2:16" x14ac:dyDescent="0.3">
      <c r="B30" s="154"/>
      <c r="C30" s="220" t="s">
        <v>82</v>
      </c>
      <c r="D30" s="220" t="s">
        <v>47</v>
      </c>
      <c r="E30" s="220" t="b">
        <v>1</v>
      </c>
      <c r="F30" s="220" t="s">
        <v>12</v>
      </c>
      <c r="G30" s="220" t="s">
        <v>9</v>
      </c>
      <c r="H30" s="37" t="str">
        <f t="shared" si="1"/>
        <v>Itchen|Poultry|TRUE|700to900|FreeDrain</v>
      </c>
      <c r="I30" s="151">
        <v>0.09</v>
      </c>
      <c r="J30" s="53">
        <v>78.56</v>
      </c>
      <c r="K30" s="37" t="str">
        <f t="shared" si="0"/>
        <v>Poultry|700to900</v>
      </c>
      <c r="L30" s="49">
        <f>AVERAGE(I30,I61)</f>
        <v>0.51500000000000001</v>
      </c>
      <c r="M30" s="151">
        <f>AVERAGE(J30,J61)</f>
        <v>85.43</v>
      </c>
      <c r="N30" s="53">
        <f>AVERAGE(I30:I32)</f>
        <v>0.13</v>
      </c>
      <c r="O30" s="38">
        <f>AVERAGE(J30:J32)</f>
        <v>81.13666666666667</v>
      </c>
      <c r="P30" s="156"/>
    </row>
    <row r="31" spans="2:16" x14ac:dyDescent="0.3">
      <c r="B31" s="154"/>
      <c r="C31" s="220" t="s">
        <v>82</v>
      </c>
      <c r="D31" s="220" t="s">
        <v>47</v>
      </c>
      <c r="E31" s="220" t="b">
        <v>0</v>
      </c>
      <c r="F31" s="220" t="s">
        <v>22</v>
      </c>
      <c r="G31" s="220" t="s">
        <v>9</v>
      </c>
      <c r="H31" s="37" t="str">
        <f t="shared" si="1"/>
        <v>Itchen|Poultry|FALSE|900to1200|FreeDrain</v>
      </c>
      <c r="I31" s="151">
        <v>0.15</v>
      </c>
      <c r="J31" s="53">
        <v>82.28</v>
      </c>
      <c r="K31" s="37" t="str">
        <f t="shared" si="0"/>
        <v>Poultry|900to1200</v>
      </c>
      <c r="L31" s="49">
        <f>AVERAGE(I31,I62:I63)</f>
        <v>0.82666666666666666</v>
      </c>
      <c r="M31" s="151">
        <f>AVERAGE(J31,J62:J63)</f>
        <v>107.81</v>
      </c>
      <c r="N31" s="53"/>
      <c r="O31" s="38"/>
      <c r="P31" s="131"/>
    </row>
    <row r="32" spans="2:16" x14ac:dyDescent="0.3">
      <c r="B32" s="154"/>
      <c r="C32" s="220" t="s">
        <v>82</v>
      </c>
      <c r="D32" s="220" t="s">
        <v>47</v>
      </c>
      <c r="E32" s="220" t="b">
        <v>1</v>
      </c>
      <c r="F32" s="220" t="s">
        <v>22</v>
      </c>
      <c r="G32" s="220" t="s">
        <v>9</v>
      </c>
      <c r="H32" s="37" t="str">
        <f t="shared" si="1"/>
        <v>Itchen|Poultry|TRUE|900to1200|FreeDrain</v>
      </c>
      <c r="I32" s="151">
        <v>0.15</v>
      </c>
      <c r="J32" s="53">
        <v>82.57</v>
      </c>
      <c r="K32" s="37" t="str">
        <f t="shared" si="0"/>
        <v>Poultry|900to1200</v>
      </c>
      <c r="L32" s="49">
        <f>AVERAGE(I32,I62:I63)</f>
        <v>0.82666666666666666</v>
      </c>
      <c r="M32" s="151">
        <f>AVERAGE(J32,J62:J63)</f>
        <v>107.90666666666665</v>
      </c>
      <c r="N32" s="53"/>
      <c r="O32" s="38"/>
      <c r="P32" s="131"/>
    </row>
    <row r="33" spans="2:16" x14ac:dyDescent="0.3">
      <c r="B33" s="154"/>
      <c r="C33" s="220" t="s">
        <v>82</v>
      </c>
      <c r="D33" s="220" t="s">
        <v>55</v>
      </c>
      <c r="E33" s="220" t="b">
        <v>1</v>
      </c>
      <c r="F33" s="220" t="s">
        <v>12</v>
      </c>
      <c r="G33" s="220" t="s">
        <v>9</v>
      </c>
      <c r="H33" s="37" t="str">
        <f t="shared" si="1"/>
        <v>Itchen|Dairy|TRUE|700to900|FreeDrain</v>
      </c>
      <c r="I33" s="151">
        <v>0.12</v>
      </c>
      <c r="J33" s="53">
        <v>47.12</v>
      </c>
      <c r="K33" s="37" t="str">
        <f t="shared" si="0"/>
        <v>Dairy|700to900</v>
      </c>
      <c r="L33" s="49">
        <f>AVERAGE(I33:I34)</f>
        <v>0.67999999999999994</v>
      </c>
      <c r="M33" s="151">
        <f>AVERAGE(J33:J34)</f>
        <v>34.14</v>
      </c>
      <c r="N33" s="53">
        <f>AVERAGE(I33:I34)</f>
        <v>0.67999999999999994</v>
      </c>
      <c r="O33" s="38">
        <f>AVERAGE(J33:J34)</f>
        <v>34.14</v>
      </c>
      <c r="P33" s="131"/>
    </row>
    <row r="34" spans="2:16" x14ac:dyDescent="0.3">
      <c r="B34" s="154"/>
      <c r="C34" s="220" t="s">
        <v>82</v>
      </c>
      <c r="D34" s="220" t="s">
        <v>55</v>
      </c>
      <c r="E34" s="220" t="b">
        <v>1</v>
      </c>
      <c r="F34" s="220" t="s">
        <v>12</v>
      </c>
      <c r="G34" s="220" t="s">
        <v>11</v>
      </c>
      <c r="H34" s="37" t="str">
        <f t="shared" si="1"/>
        <v>Itchen|Dairy|TRUE|700to900|DrainedArGr</v>
      </c>
      <c r="I34" s="151">
        <v>1.24</v>
      </c>
      <c r="J34" s="53">
        <v>21.16</v>
      </c>
      <c r="K34" s="37" t="str">
        <f t="shared" si="0"/>
        <v>Dairy|700to900</v>
      </c>
      <c r="L34" s="49">
        <f>AVERAGE(I33:I34)</f>
        <v>0.67999999999999994</v>
      </c>
      <c r="M34" s="151">
        <f>AVERAGE(J33:J34)</f>
        <v>34.14</v>
      </c>
      <c r="N34" s="53"/>
      <c r="O34" s="38"/>
      <c r="P34" s="131"/>
    </row>
    <row r="35" spans="2:16" x14ac:dyDescent="0.3">
      <c r="B35" s="154"/>
      <c r="C35" s="220" t="s">
        <v>82</v>
      </c>
      <c r="D35" s="220" t="s">
        <v>58</v>
      </c>
      <c r="E35" s="220" t="b">
        <v>1</v>
      </c>
      <c r="F35" s="220" t="s">
        <v>12</v>
      </c>
      <c r="G35" s="220" t="s">
        <v>9</v>
      </c>
      <c r="H35" s="37" t="str">
        <f t="shared" si="1"/>
        <v>Itchen|Lowland|TRUE|700to900|FreeDrain</v>
      </c>
      <c r="I35" s="151">
        <v>0.06</v>
      </c>
      <c r="J35" s="53">
        <v>13.13</v>
      </c>
      <c r="K35" s="37" t="str">
        <f t="shared" si="0"/>
        <v>Lowland|700to900</v>
      </c>
      <c r="L35" s="49">
        <f>AVERAGE(I35:I37)</f>
        <v>0.27999999999999997</v>
      </c>
      <c r="M35" s="151">
        <f>AVERAGE(J35:J37)</f>
        <v>10.209999999999999</v>
      </c>
      <c r="N35" s="53">
        <f>AVERAGE(I35:I39)</f>
        <v>0.21200000000000002</v>
      </c>
      <c r="O35" s="38">
        <f>AVERAGE(J35:J39)</f>
        <v>11.756</v>
      </c>
      <c r="P35" s="131"/>
    </row>
    <row r="36" spans="2:16" x14ac:dyDescent="0.3">
      <c r="B36" s="154"/>
      <c r="C36" s="220" t="s">
        <v>82</v>
      </c>
      <c r="D36" s="220" t="s">
        <v>58</v>
      </c>
      <c r="E36" s="220" t="b">
        <v>1</v>
      </c>
      <c r="F36" s="220" t="s">
        <v>12</v>
      </c>
      <c r="G36" s="220" t="s">
        <v>10</v>
      </c>
      <c r="H36" s="37" t="str">
        <f t="shared" si="1"/>
        <v>Itchen|Lowland|TRUE|700to900|DrainedAr</v>
      </c>
      <c r="I36" s="151">
        <v>0.18</v>
      </c>
      <c r="J36" s="53">
        <v>10.16</v>
      </c>
      <c r="K36" s="37" t="str">
        <f t="shared" si="0"/>
        <v>Lowland|700to900</v>
      </c>
      <c r="L36" s="49">
        <f>AVERAGE(I35:I37)</f>
        <v>0.27999999999999997</v>
      </c>
      <c r="M36" s="151">
        <f>AVERAGE(J35:J37)</f>
        <v>10.209999999999999</v>
      </c>
      <c r="N36" s="53"/>
      <c r="O36" s="38"/>
      <c r="P36" s="131"/>
    </row>
    <row r="37" spans="2:16" x14ac:dyDescent="0.3">
      <c r="B37" s="154"/>
      <c r="C37" s="220" t="s">
        <v>82</v>
      </c>
      <c r="D37" s="220" t="s">
        <v>58</v>
      </c>
      <c r="E37" s="220" t="b">
        <v>1</v>
      </c>
      <c r="F37" s="220" t="s">
        <v>12</v>
      </c>
      <c r="G37" s="220" t="s">
        <v>11</v>
      </c>
      <c r="H37" s="37" t="str">
        <f t="shared" si="1"/>
        <v>Itchen|Lowland|TRUE|700to900|DrainedArGr</v>
      </c>
      <c r="I37" s="151">
        <v>0.6</v>
      </c>
      <c r="J37" s="53">
        <v>7.34</v>
      </c>
      <c r="K37" s="37" t="str">
        <f t="shared" si="0"/>
        <v>Lowland|700to900</v>
      </c>
      <c r="L37" s="49">
        <f>AVERAGE(I35:I37)</f>
        <v>0.27999999999999997</v>
      </c>
      <c r="M37" s="151">
        <f>AVERAGE(J35:J37)</f>
        <v>10.209999999999999</v>
      </c>
      <c r="N37" s="53"/>
      <c r="O37" s="38"/>
      <c r="P37" s="204"/>
    </row>
    <row r="38" spans="2:16" x14ac:dyDescent="0.3">
      <c r="B38" s="154"/>
      <c r="C38" s="220" t="s">
        <v>82</v>
      </c>
      <c r="D38" s="220" t="s">
        <v>58</v>
      </c>
      <c r="E38" s="220" t="b">
        <v>0</v>
      </c>
      <c r="F38" s="220" t="s">
        <v>22</v>
      </c>
      <c r="G38" s="220" t="s">
        <v>9</v>
      </c>
      <c r="H38" s="47" t="str">
        <f t="shared" si="1"/>
        <v>Itchen|Lowland|FALSE|900to1200|FreeDrain</v>
      </c>
      <c r="I38" s="151">
        <v>0.11</v>
      </c>
      <c r="J38" s="53">
        <v>14.12</v>
      </c>
      <c r="K38" s="37" t="str">
        <f t="shared" si="0"/>
        <v>Lowland|900to1200</v>
      </c>
      <c r="L38" s="49">
        <f>AVERAGE(I38,I71:I72)</f>
        <v>0.49666666666666665</v>
      </c>
      <c r="M38" s="151">
        <f>AVERAGE(J38,J71:J72)</f>
        <v>12.299999999999999</v>
      </c>
      <c r="N38" s="53"/>
      <c r="O38" s="38"/>
      <c r="P38" s="131"/>
    </row>
    <row r="39" spans="2:16" x14ac:dyDescent="0.3">
      <c r="B39" s="154"/>
      <c r="C39" s="220" t="s">
        <v>82</v>
      </c>
      <c r="D39" s="220" t="s">
        <v>58</v>
      </c>
      <c r="E39" s="220" t="b">
        <v>1</v>
      </c>
      <c r="F39" s="220" t="s">
        <v>22</v>
      </c>
      <c r="G39" s="220" t="s">
        <v>9</v>
      </c>
      <c r="H39" s="47" t="str">
        <f t="shared" si="1"/>
        <v>Itchen|Lowland|TRUE|900to1200|FreeDrain</v>
      </c>
      <c r="I39" s="151">
        <v>0.11</v>
      </c>
      <c r="J39" s="53">
        <v>14.03</v>
      </c>
      <c r="K39" s="37" t="str">
        <f t="shared" si="0"/>
        <v>Lowland|900to1200</v>
      </c>
      <c r="L39" s="49">
        <f>AVERAGE(I39,I71:I72)</f>
        <v>0.49666666666666665</v>
      </c>
      <c r="M39" s="151">
        <f>AVERAGE(J39,J71:J72)</f>
        <v>12.270000000000001</v>
      </c>
      <c r="N39" s="53"/>
      <c r="O39" s="38"/>
      <c r="P39" s="131"/>
    </row>
    <row r="40" spans="2:16" x14ac:dyDescent="0.3">
      <c r="B40" s="154"/>
      <c r="C40" s="220" t="s">
        <v>82</v>
      </c>
      <c r="D40" s="220" t="s">
        <v>59</v>
      </c>
      <c r="E40" s="220" t="b">
        <v>1</v>
      </c>
      <c r="F40" s="220" t="s">
        <v>12</v>
      </c>
      <c r="G40" s="220" t="s">
        <v>9</v>
      </c>
      <c r="H40" s="47" t="str">
        <f t="shared" si="1"/>
        <v>Itchen|Mixed|TRUE|700to900|FreeDrain</v>
      </c>
      <c r="I40" s="151">
        <v>0.1</v>
      </c>
      <c r="J40" s="53">
        <v>26.32</v>
      </c>
      <c r="K40" s="37" t="str">
        <f t="shared" si="0"/>
        <v>Mixed|700to900</v>
      </c>
      <c r="L40" s="49">
        <f>AVERAGE(I40:I41)</f>
        <v>0.33499999999999996</v>
      </c>
      <c r="M40" s="151">
        <f>AVERAGE(J40:J41)</f>
        <v>23.259999999999998</v>
      </c>
      <c r="N40" s="53">
        <f>AVERAGE(I40:I42)</f>
        <v>0.27999999999999997</v>
      </c>
      <c r="O40" s="38">
        <f>AVERAGE(J40:J42)</f>
        <v>24.823333333333334</v>
      </c>
      <c r="P40" s="131"/>
    </row>
    <row r="41" spans="2:16" x14ac:dyDescent="0.3">
      <c r="B41" s="154"/>
      <c r="C41" s="220" t="s">
        <v>82</v>
      </c>
      <c r="D41" s="220" t="s">
        <v>59</v>
      </c>
      <c r="E41" s="220" t="b">
        <v>1</v>
      </c>
      <c r="F41" s="220" t="s">
        <v>12</v>
      </c>
      <c r="G41" s="220" t="s">
        <v>10</v>
      </c>
      <c r="H41" s="47" t="str">
        <f t="shared" si="1"/>
        <v>Itchen|Mixed|TRUE|700to900|DrainedAr</v>
      </c>
      <c r="I41" s="151">
        <v>0.56999999999999995</v>
      </c>
      <c r="J41" s="53">
        <v>20.2</v>
      </c>
      <c r="K41" s="37" t="str">
        <f t="shared" si="0"/>
        <v>Mixed|700to900</v>
      </c>
      <c r="L41" s="49">
        <f>AVERAGE(I40:I41)</f>
        <v>0.33499999999999996</v>
      </c>
      <c r="M41" s="151">
        <f>AVERAGE(J40:J41)</f>
        <v>23.259999999999998</v>
      </c>
      <c r="N41" s="53"/>
      <c r="O41" s="38"/>
      <c r="P41" s="131"/>
    </row>
    <row r="42" spans="2:16" x14ac:dyDescent="0.3">
      <c r="B42" s="154"/>
      <c r="C42" s="220" t="s">
        <v>82</v>
      </c>
      <c r="D42" s="220" t="s">
        <v>59</v>
      </c>
      <c r="E42" s="220" t="b">
        <v>1</v>
      </c>
      <c r="F42" s="220" t="s">
        <v>22</v>
      </c>
      <c r="G42" s="220" t="s">
        <v>9</v>
      </c>
      <c r="H42" s="47" t="str">
        <f t="shared" si="1"/>
        <v>Itchen|Mixed|TRUE|900to1200|FreeDrain</v>
      </c>
      <c r="I42" s="151">
        <v>0.17</v>
      </c>
      <c r="J42" s="151">
        <v>27.95</v>
      </c>
      <c r="K42" s="37" t="str">
        <f t="shared" si="0"/>
        <v>Mixed|900to1200</v>
      </c>
      <c r="L42" s="49">
        <f>AVERAGE(I42,I75:I76)</f>
        <v>0.79</v>
      </c>
      <c r="M42" s="151">
        <f>AVERAGE(J42,J75:J76)</f>
        <v>23.653333333333336</v>
      </c>
      <c r="N42" s="53"/>
      <c r="O42" s="38"/>
      <c r="P42" s="131"/>
    </row>
    <row r="43" spans="2:16" x14ac:dyDescent="0.3">
      <c r="B43" s="154"/>
      <c r="C43" s="220" t="s">
        <v>147</v>
      </c>
      <c r="D43" s="220" t="s">
        <v>7</v>
      </c>
      <c r="E43" s="220" t="b">
        <v>1</v>
      </c>
      <c r="F43" s="220" t="s">
        <v>12</v>
      </c>
      <c r="G43" s="220" t="s">
        <v>9</v>
      </c>
      <c r="H43" s="47" t="str">
        <f t="shared" ref="H43:H92" si="2">D43&amp;"|"&amp;E43&amp;"|"&amp;F43&amp;"|"&amp;G43</f>
        <v>Cereals|TRUE|700to900|FreeDrain</v>
      </c>
      <c r="I43" s="151">
        <v>0.13</v>
      </c>
      <c r="J43" s="151">
        <v>27.04</v>
      </c>
      <c r="K43" s="37" t="str">
        <f t="shared" ref="K43:K92" si="3">D43&amp;"|"&amp;F43</f>
        <v>Cereals|700to900</v>
      </c>
      <c r="L43" s="151">
        <f>I43</f>
        <v>0.13</v>
      </c>
      <c r="M43" s="151">
        <f>J43</f>
        <v>27.04</v>
      </c>
      <c r="N43" s="53"/>
      <c r="O43" s="38"/>
      <c r="P43" s="131"/>
    </row>
    <row r="44" spans="2:16" x14ac:dyDescent="0.3">
      <c r="B44" s="154"/>
      <c r="C44" s="220" t="s">
        <v>147</v>
      </c>
      <c r="D44" s="220" t="s">
        <v>7</v>
      </c>
      <c r="E44" s="220" t="b">
        <v>1</v>
      </c>
      <c r="F44" s="220" t="s">
        <v>12</v>
      </c>
      <c r="G44" s="220" t="s">
        <v>10</v>
      </c>
      <c r="H44" s="47" t="str">
        <f t="shared" si="2"/>
        <v>Cereals|TRUE|700to900|DrainedAr</v>
      </c>
      <c r="I44" s="151">
        <v>0.62</v>
      </c>
      <c r="J44" s="151">
        <v>20.93</v>
      </c>
      <c r="K44" s="37" t="str">
        <f t="shared" si="3"/>
        <v>Cereals|700to900</v>
      </c>
      <c r="L44" s="151">
        <f t="shared" ref="L44:L92" si="4">I44</f>
        <v>0.62</v>
      </c>
      <c r="M44" s="151">
        <f t="shared" ref="M44:M92" si="5">J44</f>
        <v>20.93</v>
      </c>
      <c r="N44" s="53"/>
      <c r="O44" s="38"/>
      <c r="P44" s="131"/>
    </row>
    <row r="45" spans="2:16" x14ac:dyDescent="0.3">
      <c r="B45" s="154"/>
      <c r="C45" s="220" t="s">
        <v>147</v>
      </c>
      <c r="D45" s="220" t="s">
        <v>7</v>
      </c>
      <c r="E45" s="220" t="b">
        <v>1</v>
      </c>
      <c r="F45" s="220" t="s">
        <v>12</v>
      </c>
      <c r="G45" s="220" t="s">
        <v>11</v>
      </c>
      <c r="H45" s="47" t="str">
        <f t="shared" si="2"/>
        <v>Cereals|TRUE|700to900|DrainedArGr</v>
      </c>
      <c r="I45" s="151">
        <v>0.87</v>
      </c>
      <c r="J45" s="151">
        <v>19.59</v>
      </c>
      <c r="K45" s="37" t="str">
        <f t="shared" si="3"/>
        <v>Cereals|700to900</v>
      </c>
      <c r="L45" s="151">
        <f t="shared" si="4"/>
        <v>0.87</v>
      </c>
      <c r="M45" s="151">
        <f t="shared" si="5"/>
        <v>19.59</v>
      </c>
      <c r="N45" s="53"/>
      <c r="O45" s="38"/>
      <c r="P45" s="131"/>
    </row>
    <row r="46" spans="2:16" x14ac:dyDescent="0.3">
      <c r="B46" s="154"/>
      <c r="C46" s="220" t="s">
        <v>147</v>
      </c>
      <c r="D46" s="220" t="s">
        <v>7</v>
      </c>
      <c r="E46" s="220" t="b">
        <v>1</v>
      </c>
      <c r="F46" s="220" t="s">
        <v>22</v>
      </c>
      <c r="G46" s="220" t="s">
        <v>10</v>
      </c>
      <c r="H46" s="47" t="str">
        <f t="shared" si="2"/>
        <v>Cereals|TRUE|900to1200|DrainedAr</v>
      </c>
      <c r="I46" s="151">
        <v>1.18</v>
      </c>
      <c r="J46" s="151">
        <v>26.81</v>
      </c>
      <c r="K46" s="37" t="str">
        <f t="shared" si="3"/>
        <v>Cereals|900to1200</v>
      </c>
      <c r="L46" s="151">
        <f t="shared" si="4"/>
        <v>1.18</v>
      </c>
      <c r="M46" s="151">
        <f t="shared" si="5"/>
        <v>26.81</v>
      </c>
      <c r="N46" s="53"/>
      <c r="O46" s="38"/>
      <c r="P46" s="131"/>
    </row>
    <row r="47" spans="2:16" x14ac:dyDescent="0.3">
      <c r="B47" s="154"/>
      <c r="C47" s="220" t="s">
        <v>147</v>
      </c>
      <c r="D47" s="220" t="s">
        <v>25</v>
      </c>
      <c r="E47" s="220" t="b">
        <v>1</v>
      </c>
      <c r="F47" s="220" t="s">
        <v>12</v>
      </c>
      <c r="G47" s="220" t="s">
        <v>9</v>
      </c>
      <c r="H47" s="47" t="str">
        <f t="shared" si="2"/>
        <v>General|TRUE|700to900|FreeDrain</v>
      </c>
      <c r="I47" s="151">
        <v>0.1</v>
      </c>
      <c r="J47" s="151">
        <v>17.95</v>
      </c>
      <c r="K47" s="37" t="str">
        <f t="shared" si="3"/>
        <v>General|700to900</v>
      </c>
      <c r="L47" s="151">
        <f t="shared" si="4"/>
        <v>0.1</v>
      </c>
      <c r="M47" s="151">
        <f t="shared" si="5"/>
        <v>17.95</v>
      </c>
      <c r="N47" s="53"/>
      <c r="O47" s="38"/>
      <c r="P47" s="131"/>
    </row>
    <row r="48" spans="2:16" x14ac:dyDescent="0.3">
      <c r="B48" s="154"/>
      <c r="C48" s="220" t="s">
        <v>147</v>
      </c>
      <c r="D48" s="220" t="s">
        <v>25</v>
      </c>
      <c r="E48" s="220" t="b">
        <v>1</v>
      </c>
      <c r="F48" s="220" t="s">
        <v>12</v>
      </c>
      <c r="G48" s="220" t="s">
        <v>10</v>
      </c>
      <c r="H48" s="47" t="str">
        <f t="shared" si="2"/>
        <v>General|TRUE|700to900|DrainedAr</v>
      </c>
      <c r="I48" s="151">
        <v>0.4</v>
      </c>
      <c r="J48" s="151">
        <v>13.43</v>
      </c>
      <c r="K48" s="37" t="str">
        <f t="shared" si="3"/>
        <v>General|700to900</v>
      </c>
      <c r="L48" s="151">
        <f t="shared" si="4"/>
        <v>0.4</v>
      </c>
      <c r="M48" s="151">
        <f t="shared" si="5"/>
        <v>13.43</v>
      </c>
      <c r="N48" s="53"/>
      <c r="O48" s="38"/>
      <c r="P48" s="131"/>
    </row>
    <row r="49" spans="2:16" x14ac:dyDescent="0.3">
      <c r="B49" s="154"/>
      <c r="C49" s="220" t="s">
        <v>147</v>
      </c>
      <c r="D49" s="220" t="s">
        <v>25</v>
      </c>
      <c r="E49" s="220" t="b">
        <v>1</v>
      </c>
      <c r="F49" s="220" t="s">
        <v>12</v>
      </c>
      <c r="G49" s="220" t="s">
        <v>11</v>
      </c>
      <c r="H49" s="47" t="str">
        <f t="shared" si="2"/>
        <v>General|TRUE|700to900|DrainedArGr</v>
      </c>
      <c r="I49" s="151">
        <v>0.64</v>
      </c>
      <c r="J49" s="151">
        <v>12.05</v>
      </c>
      <c r="K49" s="37" t="str">
        <f t="shared" si="3"/>
        <v>General|700to900</v>
      </c>
      <c r="L49" s="151">
        <f t="shared" si="4"/>
        <v>0.64</v>
      </c>
      <c r="M49" s="151">
        <f t="shared" si="5"/>
        <v>12.05</v>
      </c>
      <c r="N49" s="53"/>
      <c r="O49" s="38"/>
      <c r="P49" s="131"/>
    </row>
    <row r="50" spans="2:16" x14ac:dyDescent="0.3">
      <c r="B50" s="154"/>
      <c r="C50" s="220" t="s">
        <v>147</v>
      </c>
      <c r="D50" s="220" t="s">
        <v>25</v>
      </c>
      <c r="E50" s="220" t="b">
        <v>1</v>
      </c>
      <c r="F50" s="220" t="s">
        <v>22</v>
      </c>
      <c r="G50" s="220" t="s">
        <v>10</v>
      </c>
      <c r="H50" s="47" t="str">
        <f t="shared" si="2"/>
        <v>General|TRUE|900to1200|DrainedAr</v>
      </c>
      <c r="I50" s="151">
        <v>0.76</v>
      </c>
      <c r="J50" s="151">
        <v>17.149999999999999</v>
      </c>
      <c r="K50" s="37" t="str">
        <f t="shared" si="3"/>
        <v>General|900to1200</v>
      </c>
      <c r="L50" s="151">
        <f t="shared" si="4"/>
        <v>0.76</v>
      </c>
      <c r="M50" s="151">
        <f t="shared" si="5"/>
        <v>17.149999999999999</v>
      </c>
      <c r="N50" s="53"/>
      <c r="O50" s="38"/>
      <c r="P50" s="131"/>
    </row>
    <row r="51" spans="2:16" x14ac:dyDescent="0.3">
      <c r="B51" s="154"/>
      <c r="C51" s="220" t="s">
        <v>147</v>
      </c>
      <c r="D51" s="220" t="s">
        <v>25</v>
      </c>
      <c r="E51" s="220" t="b">
        <v>1</v>
      </c>
      <c r="F51" s="220" t="s">
        <v>22</v>
      </c>
      <c r="G51" s="220" t="s">
        <v>11</v>
      </c>
      <c r="H51" s="47" t="str">
        <f t="shared" si="2"/>
        <v>General|TRUE|900to1200|DrainedArGr</v>
      </c>
      <c r="I51" s="151">
        <v>1.08</v>
      </c>
      <c r="J51" s="151">
        <v>14.09</v>
      </c>
      <c r="K51" s="37" t="str">
        <f t="shared" si="3"/>
        <v>General|900to1200</v>
      </c>
      <c r="L51" s="151">
        <f t="shared" si="4"/>
        <v>1.08</v>
      </c>
      <c r="M51" s="151">
        <f t="shared" si="5"/>
        <v>14.09</v>
      </c>
      <c r="N51" s="53"/>
      <c r="O51" s="38"/>
      <c r="P51" s="131"/>
    </row>
    <row r="52" spans="2:16" x14ac:dyDescent="0.3">
      <c r="B52" s="154"/>
      <c r="C52" s="220" t="s">
        <v>147</v>
      </c>
      <c r="D52" s="220" t="s">
        <v>32</v>
      </c>
      <c r="E52" s="220" t="b">
        <v>1</v>
      </c>
      <c r="F52" s="220" t="s">
        <v>12</v>
      </c>
      <c r="G52" s="220" t="s">
        <v>9</v>
      </c>
      <c r="H52" s="47" t="str">
        <f t="shared" si="2"/>
        <v>Horticulture|TRUE|700to900|FreeDrain</v>
      </c>
      <c r="I52" s="151">
        <v>0.11</v>
      </c>
      <c r="J52" s="151">
        <v>20.27</v>
      </c>
      <c r="K52" s="37" t="str">
        <f t="shared" si="3"/>
        <v>Horticulture|700to900</v>
      </c>
      <c r="L52" s="151">
        <f t="shared" si="4"/>
        <v>0.11</v>
      </c>
      <c r="M52" s="151">
        <f t="shared" si="5"/>
        <v>20.27</v>
      </c>
      <c r="N52" s="53"/>
      <c r="O52" s="38"/>
      <c r="P52" s="131"/>
    </row>
    <row r="53" spans="2:16" x14ac:dyDescent="0.3">
      <c r="B53" s="154"/>
      <c r="C53" s="220" t="s">
        <v>147</v>
      </c>
      <c r="D53" s="220" t="s">
        <v>32</v>
      </c>
      <c r="E53" s="220" t="b">
        <v>1</v>
      </c>
      <c r="F53" s="220" t="s">
        <v>12</v>
      </c>
      <c r="G53" s="220" t="s">
        <v>10</v>
      </c>
      <c r="H53" s="47" t="str">
        <f t="shared" si="2"/>
        <v>Horticulture|TRUE|700to900|DrainedAr</v>
      </c>
      <c r="I53" s="151">
        <v>0.52</v>
      </c>
      <c r="J53" s="151">
        <v>14.82</v>
      </c>
      <c r="K53" s="37" t="str">
        <f t="shared" si="3"/>
        <v>Horticulture|700to900</v>
      </c>
      <c r="L53" s="151">
        <f t="shared" si="4"/>
        <v>0.52</v>
      </c>
      <c r="M53" s="151">
        <f t="shared" si="5"/>
        <v>14.82</v>
      </c>
      <c r="N53" s="53"/>
      <c r="O53" s="38"/>
      <c r="P53" s="131"/>
    </row>
    <row r="54" spans="2:16" x14ac:dyDescent="0.3">
      <c r="B54" s="154"/>
      <c r="C54" s="220" t="s">
        <v>147</v>
      </c>
      <c r="D54" s="220" t="s">
        <v>32</v>
      </c>
      <c r="E54" s="220" t="b">
        <v>1</v>
      </c>
      <c r="F54" s="220" t="s">
        <v>12</v>
      </c>
      <c r="G54" s="220" t="s">
        <v>11</v>
      </c>
      <c r="H54" s="47" t="str">
        <f t="shared" si="2"/>
        <v>Horticulture|TRUE|700to900|DrainedArGr</v>
      </c>
      <c r="I54" s="151">
        <v>0.77</v>
      </c>
      <c r="J54" s="151">
        <v>13.18</v>
      </c>
      <c r="K54" s="37" t="str">
        <f t="shared" si="3"/>
        <v>Horticulture|700to900</v>
      </c>
      <c r="L54" s="151">
        <f t="shared" si="4"/>
        <v>0.77</v>
      </c>
      <c r="M54" s="151">
        <f t="shared" si="5"/>
        <v>13.18</v>
      </c>
      <c r="N54" s="53"/>
      <c r="O54" s="38"/>
      <c r="P54" s="131"/>
    </row>
    <row r="55" spans="2:16" x14ac:dyDescent="0.3">
      <c r="B55" s="154"/>
      <c r="C55" s="220" t="s">
        <v>147</v>
      </c>
      <c r="D55" s="220" t="s">
        <v>32</v>
      </c>
      <c r="E55" s="220" t="b">
        <v>1</v>
      </c>
      <c r="F55" s="220" t="s">
        <v>22</v>
      </c>
      <c r="G55" s="220" t="s">
        <v>10</v>
      </c>
      <c r="H55" s="47" t="str">
        <f t="shared" si="2"/>
        <v>Horticulture|TRUE|900to1200|DrainedAr</v>
      </c>
      <c r="I55" s="151">
        <v>0.98</v>
      </c>
      <c r="J55" s="151">
        <v>18.78</v>
      </c>
      <c r="K55" s="37" t="str">
        <f t="shared" si="3"/>
        <v>Horticulture|900to1200</v>
      </c>
      <c r="L55" s="151">
        <f t="shared" si="4"/>
        <v>0.98</v>
      </c>
      <c r="M55" s="151">
        <f t="shared" si="5"/>
        <v>18.78</v>
      </c>
      <c r="N55" s="53"/>
      <c r="O55" s="38"/>
      <c r="P55" s="131"/>
    </row>
    <row r="56" spans="2:16" x14ac:dyDescent="0.3">
      <c r="B56" s="154"/>
      <c r="C56" s="220" t="s">
        <v>147</v>
      </c>
      <c r="D56" s="220" t="s">
        <v>32</v>
      </c>
      <c r="E56" s="220" t="b">
        <v>1</v>
      </c>
      <c r="F56" s="220" t="s">
        <v>22</v>
      </c>
      <c r="G56" s="220" t="s">
        <v>11</v>
      </c>
      <c r="H56" s="47" t="str">
        <f t="shared" si="2"/>
        <v>Horticulture|TRUE|900to1200|DrainedArGr</v>
      </c>
      <c r="I56" s="151">
        <v>1.26</v>
      </c>
      <c r="J56" s="151">
        <v>15.11</v>
      </c>
      <c r="K56" s="37" t="str">
        <f t="shared" si="3"/>
        <v>Horticulture|900to1200</v>
      </c>
      <c r="L56" s="151">
        <f t="shared" si="4"/>
        <v>1.26</v>
      </c>
      <c r="M56" s="151">
        <f t="shared" si="5"/>
        <v>15.11</v>
      </c>
      <c r="N56" s="53"/>
      <c r="O56" s="38"/>
      <c r="P56" s="131"/>
    </row>
    <row r="57" spans="2:16" x14ac:dyDescent="0.3">
      <c r="B57" s="154"/>
      <c r="C57" s="220" t="s">
        <v>147</v>
      </c>
      <c r="D57" s="220" t="s">
        <v>42</v>
      </c>
      <c r="E57" s="220" t="b">
        <v>1</v>
      </c>
      <c r="F57" s="220" t="s">
        <v>12</v>
      </c>
      <c r="G57" s="220" t="s">
        <v>9</v>
      </c>
      <c r="H57" s="47" t="str">
        <f t="shared" si="2"/>
        <v>Pig|TRUE|700to900|FreeDrain</v>
      </c>
      <c r="I57" s="151">
        <v>0.14000000000000001</v>
      </c>
      <c r="J57" s="151">
        <v>85.33</v>
      </c>
      <c r="K57" s="37" t="str">
        <f t="shared" si="3"/>
        <v>Pig|700to900</v>
      </c>
      <c r="L57" s="151">
        <f t="shared" si="4"/>
        <v>0.14000000000000001</v>
      </c>
      <c r="M57" s="151">
        <f t="shared" si="5"/>
        <v>85.33</v>
      </c>
      <c r="N57" s="53">
        <f>AVERAGE(I57:I59)</f>
        <v>0.91000000000000014</v>
      </c>
      <c r="O57" s="38">
        <f>AVERAGE(J57:J59)</f>
        <v>61.013333333333328</v>
      </c>
      <c r="P57" s="131"/>
    </row>
    <row r="58" spans="2:16" x14ac:dyDescent="0.3">
      <c r="B58" s="154"/>
      <c r="C58" s="220" t="s">
        <v>147</v>
      </c>
      <c r="D58" s="220" t="s">
        <v>42</v>
      </c>
      <c r="E58" s="220" t="b">
        <v>1</v>
      </c>
      <c r="F58" s="220" t="s">
        <v>12</v>
      </c>
      <c r="G58" s="220" t="s">
        <v>11</v>
      </c>
      <c r="H58" s="47" t="str">
        <f t="shared" si="2"/>
        <v>Pig|TRUE|700to900|DrainedArGr</v>
      </c>
      <c r="I58" s="151">
        <v>1.02</v>
      </c>
      <c r="J58" s="151">
        <v>46.64</v>
      </c>
      <c r="K58" s="37" t="str">
        <f t="shared" si="3"/>
        <v>Pig|700to900</v>
      </c>
      <c r="L58" s="151">
        <f t="shared" si="4"/>
        <v>1.02</v>
      </c>
      <c r="M58" s="38">
        <f t="shared" si="5"/>
        <v>46.64</v>
      </c>
      <c r="N58" s="29"/>
      <c r="O58" s="29"/>
      <c r="P58" s="131"/>
    </row>
    <row r="59" spans="2:16" x14ac:dyDescent="0.3">
      <c r="B59" s="154"/>
      <c r="C59" s="220" t="s">
        <v>147</v>
      </c>
      <c r="D59" s="220" t="s">
        <v>42</v>
      </c>
      <c r="E59" s="220" t="b">
        <v>1</v>
      </c>
      <c r="F59" s="220" t="s">
        <v>22</v>
      </c>
      <c r="G59" s="220" t="s">
        <v>11</v>
      </c>
      <c r="H59" s="47" t="str">
        <f t="shared" si="2"/>
        <v>Pig|TRUE|900to1200|DrainedArGr</v>
      </c>
      <c r="I59" s="151">
        <v>1.57</v>
      </c>
      <c r="J59" s="151">
        <v>51.07</v>
      </c>
      <c r="K59" s="37" t="str">
        <f t="shared" si="3"/>
        <v>Pig|900to1200</v>
      </c>
      <c r="L59" s="151">
        <f t="shared" si="4"/>
        <v>1.57</v>
      </c>
      <c r="M59" s="38">
        <f t="shared" si="5"/>
        <v>51.07</v>
      </c>
      <c r="N59" s="29"/>
      <c r="O59" s="29"/>
      <c r="P59" s="131"/>
    </row>
    <row r="60" spans="2:16" x14ac:dyDescent="0.3">
      <c r="B60" s="154"/>
      <c r="C60" s="220" t="s">
        <v>147</v>
      </c>
      <c r="D60" s="220" t="s">
        <v>47</v>
      </c>
      <c r="E60" s="220" t="b">
        <v>1</v>
      </c>
      <c r="F60" s="220" t="s">
        <v>12</v>
      </c>
      <c r="G60" s="220" t="s">
        <v>9</v>
      </c>
      <c r="H60" s="47" t="str">
        <f t="shared" si="2"/>
        <v>Poultry|TRUE|700to900|FreeDrain</v>
      </c>
      <c r="I60" s="151">
        <v>0.19</v>
      </c>
      <c r="J60" s="151">
        <v>181.05</v>
      </c>
      <c r="K60" s="37" t="str">
        <f t="shared" si="3"/>
        <v>Poultry|700to900</v>
      </c>
      <c r="L60" s="151">
        <f t="shared" si="4"/>
        <v>0.19</v>
      </c>
      <c r="M60" s="38">
        <f t="shared" si="5"/>
        <v>181.05</v>
      </c>
      <c r="N60" s="29"/>
      <c r="O60" s="29"/>
      <c r="P60" s="131"/>
    </row>
    <row r="61" spans="2:16" x14ac:dyDescent="0.3">
      <c r="B61" s="154"/>
      <c r="C61" s="220" t="s">
        <v>147</v>
      </c>
      <c r="D61" s="220" t="s">
        <v>47</v>
      </c>
      <c r="E61" s="220" t="b">
        <v>1</v>
      </c>
      <c r="F61" s="220" t="s">
        <v>12</v>
      </c>
      <c r="G61" s="220" t="s">
        <v>11</v>
      </c>
      <c r="H61" s="47" t="str">
        <f t="shared" si="2"/>
        <v>Poultry|TRUE|700to900|DrainedArGr</v>
      </c>
      <c r="I61" s="151">
        <v>0.94</v>
      </c>
      <c r="J61" s="151">
        <v>92.3</v>
      </c>
      <c r="K61" s="37" t="str">
        <f t="shared" si="3"/>
        <v>Poultry|700to900</v>
      </c>
      <c r="L61" s="151">
        <f t="shared" si="4"/>
        <v>0.94</v>
      </c>
      <c r="M61" s="38">
        <f t="shared" si="5"/>
        <v>92.3</v>
      </c>
      <c r="N61" s="29"/>
      <c r="O61" s="29"/>
      <c r="P61" s="131"/>
    </row>
    <row r="62" spans="2:16" x14ac:dyDescent="0.3">
      <c r="B62" s="154"/>
      <c r="C62" s="220" t="s">
        <v>147</v>
      </c>
      <c r="D62" s="220" t="s">
        <v>47</v>
      </c>
      <c r="E62" s="220" t="b">
        <v>1</v>
      </c>
      <c r="F62" s="220" t="s">
        <v>22</v>
      </c>
      <c r="G62" s="220" t="s">
        <v>10</v>
      </c>
      <c r="H62" s="47" t="str">
        <f t="shared" si="2"/>
        <v>Poultry|TRUE|900to1200|DrainedAr</v>
      </c>
      <c r="I62" s="151">
        <v>0.83</v>
      </c>
      <c r="J62" s="151">
        <v>141.51</v>
      </c>
      <c r="K62" s="37" t="str">
        <f t="shared" si="3"/>
        <v>Poultry|900to1200</v>
      </c>
      <c r="L62" s="151">
        <f t="shared" si="4"/>
        <v>0.83</v>
      </c>
      <c r="M62" s="38">
        <f t="shared" si="5"/>
        <v>141.51</v>
      </c>
      <c r="N62" s="29"/>
      <c r="O62" s="29"/>
      <c r="P62" s="131"/>
    </row>
    <row r="63" spans="2:16" x14ac:dyDescent="0.3">
      <c r="B63" s="154"/>
      <c r="C63" s="220" t="s">
        <v>147</v>
      </c>
      <c r="D63" s="220" t="s">
        <v>47</v>
      </c>
      <c r="E63" s="220" t="b">
        <v>1</v>
      </c>
      <c r="F63" s="220" t="s">
        <v>22</v>
      </c>
      <c r="G63" s="220" t="s">
        <v>11</v>
      </c>
      <c r="H63" s="47" t="str">
        <f t="shared" si="2"/>
        <v>Poultry|TRUE|900to1200|DrainedArGr</v>
      </c>
      <c r="I63" s="151">
        <v>1.5</v>
      </c>
      <c r="J63" s="151">
        <v>99.64</v>
      </c>
      <c r="K63" s="37" t="str">
        <f t="shared" si="3"/>
        <v>Poultry|900to1200</v>
      </c>
      <c r="L63" s="151">
        <f t="shared" si="4"/>
        <v>1.5</v>
      </c>
      <c r="M63" s="38">
        <f t="shared" si="5"/>
        <v>99.64</v>
      </c>
      <c r="N63" s="29"/>
      <c r="O63" s="29"/>
      <c r="P63" s="131"/>
    </row>
    <row r="64" spans="2:16" x14ac:dyDescent="0.3">
      <c r="B64" s="154"/>
      <c r="C64" s="220" t="s">
        <v>147</v>
      </c>
      <c r="D64" s="220" t="s">
        <v>55</v>
      </c>
      <c r="E64" s="220" t="b">
        <v>1</v>
      </c>
      <c r="F64" s="220" t="s">
        <v>12</v>
      </c>
      <c r="G64" s="220" t="s">
        <v>9</v>
      </c>
      <c r="H64" s="47" t="str">
        <f t="shared" si="2"/>
        <v>Dairy|TRUE|700to900|FreeDrain</v>
      </c>
      <c r="I64" s="151">
        <v>0.15</v>
      </c>
      <c r="J64" s="151">
        <v>35.340000000000003</v>
      </c>
      <c r="K64" s="37" t="str">
        <f t="shared" si="3"/>
        <v>Dairy|700to900</v>
      </c>
      <c r="L64" s="151">
        <f t="shared" si="4"/>
        <v>0.15</v>
      </c>
      <c r="M64" s="38">
        <f t="shared" si="5"/>
        <v>35.340000000000003</v>
      </c>
      <c r="N64" s="29"/>
      <c r="O64" s="29"/>
      <c r="P64" s="131"/>
    </row>
    <row r="65" spans="2:16" x14ac:dyDescent="0.3">
      <c r="B65" s="154"/>
      <c r="C65" s="220" t="s">
        <v>147</v>
      </c>
      <c r="D65" s="220" t="s">
        <v>55</v>
      </c>
      <c r="E65" s="220" t="b">
        <v>1</v>
      </c>
      <c r="F65" s="220" t="s">
        <v>12</v>
      </c>
      <c r="G65" s="220" t="s">
        <v>11</v>
      </c>
      <c r="H65" s="47" t="str">
        <f t="shared" si="2"/>
        <v>Dairy|TRUE|700to900|DrainedArGr</v>
      </c>
      <c r="I65" s="151">
        <v>1.01</v>
      </c>
      <c r="J65" s="151">
        <v>16.37</v>
      </c>
      <c r="K65" s="37" t="str">
        <f t="shared" si="3"/>
        <v>Dairy|700to900</v>
      </c>
      <c r="L65" s="151">
        <f t="shared" si="4"/>
        <v>1.01</v>
      </c>
      <c r="M65" s="38">
        <f t="shared" si="5"/>
        <v>16.37</v>
      </c>
      <c r="N65" s="29"/>
      <c r="O65" s="29"/>
      <c r="P65" s="131"/>
    </row>
    <row r="66" spans="2:16" x14ac:dyDescent="0.3">
      <c r="B66" s="154"/>
      <c r="C66" s="220" t="s">
        <v>147</v>
      </c>
      <c r="D66" s="220" t="s">
        <v>58</v>
      </c>
      <c r="E66" s="220" t="b">
        <v>1</v>
      </c>
      <c r="F66" s="220" t="s">
        <v>12</v>
      </c>
      <c r="G66" s="220" t="s">
        <v>9</v>
      </c>
      <c r="H66" s="47" t="str">
        <f t="shared" si="2"/>
        <v>Lowland|TRUE|700to900|FreeDrain</v>
      </c>
      <c r="I66" s="151">
        <v>0.09</v>
      </c>
      <c r="J66" s="151">
        <v>13.36</v>
      </c>
      <c r="K66" s="37" t="str">
        <f t="shared" si="3"/>
        <v>Lowland|700to900</v>
      </c>
      <c r="L66" s="151">
        <f t="shared" si="4"/>
        <v>0.09</v>
      </c>
      <c r="M66" s="38">
        <f t="shared" si="5"/>
        <v>13.36</v>
      </c>
      <c r="N66" s="29"/>
      <c r="O66" s="29"/>
      <c r="P66" s="131"/>
    </row>
    <row r="67" spans="2:16" x14ac:dyDescent="0.3">
      <c r="B67" s="154"/>
      <c r="C67" s="220" t="s">
        <v>147</v>
      </c>
      <c r="D67" s="220" t="s">
        <v>58</v>
      </c>
      <c r="E67" s="220" t="b">
        <v>0</v>
      </c>
      <c r="F67" s="220" t="s">
        <v>12</v>
      </c>
      <c r="G67" s="220" t="s">
        <v>10</v>
      </c>
      <c r="H67" s="47" t="str">
        <f t="shared" si="2"/>
        <v>Lowland|FALSE|700to900|DrainedAr</v>
      </c>
      <c r="I67" s="151">
        <v>0.19</v>
      </c>
      <c r="J67" s="151">
        <v>10.51</v>
      </c>
      <c r="K67" s="37" t="str">
        <f t="shared" si="3"/>
        <v>Lowland|700to900</v>
      </c>
      <c r="L67" s="151">
        <f t="shared" si="4"/>
        <v>0.19</v>
      </c>
      <c r="M67" s="38">
        <f t="shared" si="5"/>
        <v>10.51</v>
      </c>
      <c r="N67" s="29"/>
      <c r="O67" s="29"/>
      <c r="P67" s="131"/>
    </row>
    <row r="68" spans="2:16" x14ac:dyDescent="0.3">
      <c r="B68" s="154"/>
      <c r="C68" s="220" t="s">
        <v>147</v>
      </c>
      <c r="D68" s="220" t="s">
        <v>58</v>
      </c>
      <c r="E68" s="220" t="b">
        <v>1</v>
      </c>
      <c r="F68" s="220" t="s">
        <v>12</v>
      </c>
      <c r="G68" s="220" t="s">
        <v>10</v>
      </c>
      <c r="H68" s="47" t="str">
        <f t="shared" si="2"/>
        <v>Lowland|TRUE|700to900|DrainedAr</v>
      </c>
      <c r="I68" s="151">
        <v>0.19</v>
      </c>
      <c r="J68" s="151">
        <v>10.44</v>
      </c>
      <c r="K68" s="37" t="str">
        <f t="shared" si="3"/>
        <v>Lowland|700to900</v>
      </c>
      <c r="L68" s="151">
        <f t="shared" si="4"/>
        <v>0.19</v>
      </c>
      <c r="M68" s="38">
        <f t="shared" si="5"/>
        <v>10.44</v>
      </c>
      <c r="N68" s="29"/>
      <c r="O68" s="29"/>
      <c r="P68" s="131"/>
    </row>
    <row r="69" spans="2:16" x14ac:dyDescent="0.3">
      <c r="B69" s="154"/>
      <c r="C69" s="220" t="s">
        <v>147</v>
      </c>
      <c r="D69" s="220" t="s">
        <v>58</v>
      </c>
      <c r="E69" s="220" t="b">
        <v>0</v>
      </c>
      <c r="F69" s="220" t="s">
        <v>12</v>
      </c>
      <c r="G69" s="220" t="s">
        <v>11</v>
      </c>
      <c r="H69" s="47" t="str">
        <f t="shared" si="2"/>
        <v>Lowland|FALSE|700to900|DrainedArGr</v>
      </c>
      <c r="I69" s="151">
        <v>0.62</v>
      </c>
      <c r="J69" s="151">
        <v>7.3</v>
      </c>
      <c r="K69" s="37" t="str">
        <f t="shared" si="3"/>
        <v>Lowland|700to900</v>
      </c>
      <c r="L69" s="151">
        <f t="shared" si="4"/>
        <v>0.62</v>
      </c>
      <c r="M69" s="38">
        <f t="shared" si="5"/>
        <v>7.3</v>
      </c>
      <c r="N69" s="29"/>
      <c r="O69" s="29"/>
      <c r="P69" s="131"/>
    </row>
    <row r="70" spans="2:16" x14ac:dyDescent="0.3">
      <c r="B70" s="154"/>
      <c r="C70" s="220" t="s">
        <v>147</v>
      </c>
      <c r="D70" s="220" t="s">
        <v>58</v>
      </c>
      <c r="E70" s="220" t="b">
        <v>1</v>
      </c>
      <c r="F70" s="220" t="s">
        <v>12</v>
      </c>
      <c r="G70" s="220" t="s">
        <v>11</v>
      </c>
      <c r="H70" s="47" t="str">
        <f t="shared" si="2"/>
        <v>Lowland|TRUE|700to900|DrainedArGr</v>
      </c>
      <c r="I70" s="151">
        <v>0.62</v>
      </c>
      <c r="J70" s="151">
        <v>7.28</v>
      </c>
      <c r="K70" s="37" t="str">
        <f t="shared" si="3"/>
        <v>Lowland|700to900</v>
      </c>
      <c r="L70" s="151">
        <f t="shared" si="4"/>
        <v>0.62</v>
      </c>
      <c r="M70" s="38">
        <f t="shared" si="5"/>
        <v>7.28</v>
      </c>
      <c r="N70" s="29"/>
      <c r="O70" s="29"/>
      <c r="P70" s="131"/>
    </row>
    <row r="71" spans="2:16" x14ac:dyDescent="0.3">
      <c r="B71" s="154"/>
      <c r="C71" s="220" t="s">
        <v>147</v>
      </c>
      <c r="D71" s="220" t="s">
        <v>58</v>
      </c>
      <c r="E71" s="220" t="b">
        <v>1</v>
      </c>
      <c r="F71" s="220" t="s">
        <v>22</v>
      </c>
      <c r="G71" s="220" t="s">
        <v>10</v>
      </c>
      <c r="H71" s="47" t="str">
        <f t="shared" si="2"/>
        <v>Lowland|TRUE|900to1200|DrainedAr</v>
      </c>
      <c r="I71" s="151">
        <v>0.34</v>
      </c>
      <c r="J71" s="151">
        <v>13.18</v>
      </c>
      <c r="K71" s="37" t="str">
        <f t="shared" si="3"/>
        <v>Lowland|900to1200</v>
      </c>
      <c r="L71" s="151">
        <f t="shared" si="4"/>
        <v>0.34</v>
      </c>
      <c r="M71" s="38">
        <f t="shared" si="5"/>
        <v>13.18</v>
      </c>
      <c r="N71" s="29"/>
      <c r="O71" s="29"/>
      <c r="P71" s="131"/>
    </row>
    <row r="72" spans="2:16" x14ac:dyDescent="0.3">
      <c r="B72" s="154"/>
      <c r="C72" s="220" t="s">
        <v>147</v>
      </c>
      <c r="D72" s="220" t="s">
        <v>58</v>
      </c>
      <c r="E72" s="220" t="b">
        <v>1</v>
      </c>
      <c r="F72" s="220" t="s">
        <v>22</v>
      </c>
      <c r="G72" s="220" t="s">
        <v>11</v>
      </c>
      <c r="H72" s="47" t="str">
        <f t="shared" si="2"/>
        <v>Lowland|TRUE|900to1200|DrainedArGr</v>
      </c>
      <c r="I72" s="151">
        <v>1.04</v>
      </c>
      <c r="J72" s="151">
        <v>9.6</v>
      </c>
      <c r="K72" s="37" t="str">
        <f t="shared" si="3"/>
        <v>Lowland|900to1200</v>
      </c>
      <c r="L72" s="151">
        <f t="shared" si="4"/>
        <v>1.04</v>
      </c>
      <c r="M72" s="38">
        <f t="shared" si="5"/>
        <v>9.6</v>
      </c>
      <c r="N72" s="29"/>
      <c r="O72" s="29"/>
      <c r="P72" s="131"/>
    </row>
    <row r="73" spans="2:16" x14ac:dyDescent="0.3">
      <c r="B73" s="154"/>
      <c r="C73" s="220" t="s">
        <v>147</v>
      </c>
      <c r="D73" s="220" t="s">
        <v>59</v>
      </c>
      <c r="E73" s="220" t="b">
        <v>1</v>
      </c>
      <c r="F73" s="220" t="s">
        <v>12</v>
      </c>
      <c r="G73" s="220" t="s">
        <v>9</v>
      </c>
      <c r="H73" s="47" t="str">
        <f t="shared" si="2"/>
        <v>Mixed|TRUE|700to900|FreeDrain</v>
      </c>
      <c r="I73" s="151">
        <v>0.12</v>
      </c>
      <c r="J73" s="151">
        <v>25.46</v>
      </c>
      <c r="K73" s="37" t="str">
        <f t="shared" si="3"/>
        <v>Mixed|700to900</v>
      </c>
      <c r="L73" s="151">
        <f t="shared" si="4"/>
        <v>0.12</v>
      </c>
      <c r="M73" s="38">
        <f t="shared" si="5"/>
        <v>25.46</v>
      </c>
      <c r="N73" s="29"/>
      <c r="O73" s="29"/>
      <c r="P73" s="131"/>
    </row>
    <row r="74" spans="2:16" x14ac:dyDescent="0.3">
      <c r="B74" s="154"/>
      <c r="C74" s="220" t="s">
        <v>147</v>
      </c>
      <c r="D74" s="220" t="s">
        <v>59</v>
      </c>
      <c r="E74" s="220" t="b">
        <v>1</v>
      </c>
      <c r="F74" s="220" t="s">
        <v>12</v>
      </c>
      <c r="G74" s="220" t="s">
        <v>11</v>
      </c>
      <c r="H74" s="47" t="str">
        <f t="shared" si="2"/>
        <v>Mixed|TRUE|700to900|DrainedArGr</v>
      </c>
      <c r="I74" s="151">
        <v>0.83</v>
      </c>
      <c r="J74" s="151">
        <v>15.87</v>
      </c>
      <c r="K74" s="37" t="str">
        <f t="shared" si="3"/>
        <v>Mixed|700to900</v>
      </c>
      <c r="L74" s="151">
        <f t="shared" si="4"/>
        <v>0.83</v>
      </c>
      <c r="M74" s="38">
        <f t="shared" si="5"/>
        <v>15.87</v>
      </c>
      <c r="N74" s="29"/>
      <c r="O74" s="29"/>
      <c r="P74" s="131"/>
    </row>
    <row r="75" spans="2:16" x14ac:dyDescent="0.3">
      <c r="B75" s="154"/>
      <c r="C75" s="220" t="s">
        <v>147</v>
      </c>
      <c r="D75" s="220" t="s">
        <v>59</v>
      </c>
      <c r="E75" s="220" t="b">
        <v>1</v>
      </c>
      <c r="F75" s="220" t="s">
        <v>22</v>
      </c>
      <c r="G75" s="220" t="s">
        <v>10</v>
      </c>
      <c r="H75" s="47" t="str">
        <f t="shared" si="2"/>
        <v>Mixed|TRUE|900to1200|DrainedAr</v>
      </c>
      <c r="I75" s="151">
        <v>0.84</v>
      </c>
      <c r="J75" s="151">
        <v>24.25</v>
      </c>
      <c r="K75" s="37" t="str">
        <f t="shared" si="3"/>
        <v>Mixed|900to1200</v>
      </c>
      <c r="L75" s="151">
        <f t="shared" si="4"/>
        <v>0.84</v>
      </c>
      <c r="M75" s="38">
        <f t="shared" si="5"/>
        <v>24.25</v>
      </c>
      <c r="N75" s="29"/>
      <c r="O75" s="29"/>
      <c r="P75" s="131"/>
    </row>
    <row r="76" spans="2:16" x14ac:dyDescent="0.3">
      <c r="B76" s="154"/>
      <c r="C76" s="220" t="s">
        <v>147</v>
      </c>
      <c r="D76" s="220" t="s">
        <v>59</v>
      </c>
      <c r="E76" s="220" t="b">
        <v>1</v>
      </c>
      <c r="F76" s="220" t="s">
        <v>22</v>
      </c>
      <c r="G76" s="220" t="s">
        <v>11</v>
      </c>
      <c r="H76" s="47" t="str">
        <f t="shared" si="2"/>
        <v>Mixed|TRUE|900to1200|DrainedArGr</v>
      </c>
      <c r="I76" s="151">
        <v>1.36</v>
      </c>
      <c r="J76" s="151">
        <v>18.760000000000002</v>
      </c>
      <c r="K76" s="37" t="str">
        <f t="shared" si="3"/>
        <v>Mixed|900to1200</v>
      </c>
      <c r="L76" s="151">
        <f t="shared" si="4"/>
        <v>1.36</v>
      </c>
      <c r="M76" s="38">
        <f t="shared" si="5"/>
        <v>18.760000000000002</v>
      </c>
      <c r="N76" s="29"/>
      <c r="O76" s="29"/>
      <c r="P76" s="131"/>
    </row>
    <row r="77" spans="2:16" x14ac:dyDescent="0.3">
      <c r="B77" s="154"/>
      <c r="C77" s="220" t="s">
        <v>216</v>
      </c>
      <c r="D77" s="220" t="s">
        <v>7</v>
      </c>
      <c r="E77" s="220" t="b">
        <v>1</v>
      </c>
      <c r="F77" s="220" t="s">
        <v>12</v>
      </c>
      <c r="G77" s="220" t="s">
        <v>9</v>
      </c>
      <c r="H77" s="47" t="str">
        <f t="shared" si="2"/>
        <v>Cereals|TRUE|700to900|FreeDrain</v>
      </c>
      <c r="I77" s="151">
        <v>0.09</v>
      </c>
      <c r="J77" s="151">
        <v>27.93</v>
      </c>
      <c r="K77" s="37" t="str">
        <f t="shared" si="3"/>
        <v>Cereals|700to900</v>
      </c>
      <c r="L77" s="151">
        <f t="shared" si="4"/>
        <v>0.09</v>
      </c>
      <c r="M77" s="38">
        <f t="shared" si="5"/>
        <v>27.93</v>
      </c>
      <c r="N77" s="29"/>
      <c r="O77" s="29"/>
      <c r="P77" s="131"/>
    </row>
    <row r="78" spans="2:16" x14ac:dyDescent="0.3">
      <c r="B78" s="154"/>
      <c r="C78" s="220" t="s">
        <v>216</v>
      </c>
      <c r="D78" s="220" t="s">
        <v>7</v>
      </c>
      <c r="E78" s="220" t="b">
        <v>1</v>
      </c>
      <c r="F78" s="220" t="s">
        <v>12</v>
      </c>
      <c r="G78" s="220" t="s">
        <v>10</v>
      </c>
      <c r="H78" s="47" t="str">
        <f t="shared" si="2"/>
        <v>Cereals|TRUE|700to900|DrainedAr</v>
      </c>
      <c r="I78" s="151">
        <v>0.67</v>
      </c>
      <c r="J78" s="151">
        <v>21.48</v>
      </c>
      <c r="K78" s="37" t="str">
        <f t="shared" si="3"/>
        <v>Cereals|700to900</v>
      </c>
      <c r="L78" s="151">
        <f>I78</f>
        <v>0.67</v>
      </c>
      <c r="M78" s="38">
        <f t="shared" si="5"/>
        <v>21.48</v>
      </c>
      <c r="N78" s="29"/>
      <c r="O78" s="29"/>
      <c r="P78" s="131"/>
    </row>
    <row r="79" spans="2:16" x14ac:dyDescent="0.3">
      <c r="B79" s="154"/>
      <c r="C79" s="220" t="s">
        <v>216</v>
      </c>
      <c r="D79" s="220" t="s">
        <v>7</v>
      </c>
      <c r="E79" s="220" t="b">
        <v>1</v>
      </c>
      <c r="F79" s="220" t="s">
        <v>22</v>
      </c>
      <c r="G79" s="220" t="s">
        <v>9</v>
      </c>
      <c r="H79" s="47" t="str">
        <f t="shared" si="2"/>
        <v>Cereals|TRUE|900to1200|FreeDrain</v>
      </c>
      <c r="I79" s="151">
        <v>0.15</v>
      </c>
      <c r="J79" s="151">
        <v>29.73</v>
      </c>
      <c r="K79" s="37" t="str">
        <f t="shared" si="3"/>
        <v>Cereals|900to1200</v>
      </c>
      <c r="L79" s="151">
        <f t="shared" si="4"/>
        <v>0.15</v>
      </c>
      <c r="M79" s="38">
        <f t="shared" si="5"/>
        <v>29.73</v>
      </c>
      <c r="N79" s="29"/>
      <c r="O79" s="29"/>
      <c r="P79" s="131"/>
    </row>
    <row r="80" spans="2:16" x14ac:dyDescent="0.3">
      <c r="B80" s="154"/>
      <c r="C80" s="220" t="s">
        <v>216</v>
      </c>
      <c r="D80" s="220" t="s">
        <v>25</v>
      </c>
      <c r="E80" s="220" t="b">
        <v>1</v>
      </c>
      <c r="F80" s="220" t="s">
        <v>12</v>
      </c>
      <c r="G80" s="220" t="s">
        <v>9</v>
      </c>
      <c r="H80" s="47" t="str">
        <f t="shared" si="2"/>
        <v>General|TRUE|700to900|FreeDrain</v>
      </c>
      <c r="I80" s="151">
        <v>7.0000000000000007E-2</v>
      </c>
      <c r="J80" s="151">
        <v>19.64</v>
      </c>
      <c r="K80" s="37" t="str">
        <f t="shared" si="3"/>
        <v>General|700to900</v>
      </c>
      <c r="L80" s="151">
        <f t="shared" si="4"/>
        <v>7.0000000000000007E-2</v>
      </c>
      <c r="M80" s="38">
        <f t="shared" si="5"/>
        <v>19.64</v>
      </c>
      <c r="N80" s="29"/>
      <c r="O80" s="29"/>
      <c r="P80" s="131"/>
    </row>
    <row r="81" spans="2:16" x14ac:dyDescent="0.3">
      <c r="B81" s="154"/>
      <c r="C81" s="220" t="s">
        <v>216</v>
      </c>
      <c r="D81" s="220" t="s">
        <v>25</v>
      </c>
      <c r="E81" s="220" t="b">
        <v>1</v>
      </c>
      <c r="F81" s="220" t="s">
        <v>12</v>
      </c>
      <c r="G81" s="220" t="s">
        <v>10</v>
      </c>
      <c r="H81" s="47" t="str">
        <f t="shared" si="2"/>
        <v>General|TRUE|700to900|DrainedAr</v>
      </c>
      <c r="I81" s="151">
        <v>0.45</v>
      </c>
      <c r="J81" s="151">
        <v>14.79</v>
      </c>
      <c r="K81" s="37" t="str">
        <f t="shared" si="3"/>
        <v>General|700to900</v>
      </c>
      <c r="L81" s="151">
        <f t="shared" si="4"/>
        <v>0.45</v>
      </c>
      <c r="M81" s="38">
        <f t="shared" si="5"/>
        <v>14.79</v>
      </c>
      <c r="N81" s="29"/>
      <c r="O81" s="29"/>
      <c r="P81" s="131"/>
    </row>
    <row r="82" spans="2:16" x14ac:dyDescent="0.3">
      <c r="B82" s="154"/>
      <c r="C82" s="220" t="s">
        <v>216</v>
      </c>
      <c r="D82" s="220" t="s">
        <v>25</v>
      </c>
      <c r="E82" s="220" t="b">
        <v>1</v>
      </c>
      <c r="F82" s="220" t="s">
        <v>22</v>
      </c>
      <c r="G82" s="220" t="s">
        <v>9</v>
      </c>
      <c r="H82" s="47" t="str">
        <f t="shared" si="2"/>
        <v>General|TRUE|900to1200|FreeDrain</v>
      </c>
      <c r="I82" s="151">
        <v>0.12</v>
      </c>
      <c r="J82" s="151">
        <v>21.1</v>
      </c>
      <c r="K82" s="37" t="str">
        <f t="shared" si="3"/>
        <v>General|900to1200</v>
      </c>
      <c r="L82" s="151">
        <f t="shared" si="4"/>
        <v>0.12</v>
      </c>
      <c r="M82" s="38">
        <f t="shared" si="5"/>
        <v>21.1</v>
      </c>
      <c r="N82" s="29"/>
      <c r="O82" s="29"/>
      <c r="P82" s="131"/>
    </row>
    <row r="83" spans="2:16" x14ac:dyDescent="0.3">
      <c r="B83" s="154"/>
      <c r="C83" s="220" t="s">
        <v>216</v>
      </c>
      <c r="D83" s="220" t="s">
        <v>146</v>
      </c>
      <c r="E83" s="220" t="b">
        <v>1</v>
      </c>
      <c r="F83" s="220" t="s">
        <v>12</v>
      </c>
      <c r="G83" s="220" t="s">
        <v>9</v>
      </c>
      <c r="H83" s="47" t="str">
        <f t="shared" si="2"/>
        <v>Hortic|TRUE|700to900|FreeDrain</v>
      </c>
      <c r="I83" s="151">
        <v>7.0000000000000007E-2</v>
      </c>
      <c r="J83" s="151">
        <v>21.02</v>
      </c>
      <c r="K83" s="37" t="str">
        <f t="shared" si="3"/>
        <v>Hortic|700to900</v>
      </c>
      <c r="L83" s="151">
        <f t="shared" si="4"/>
        <v>7.0000000000000007E-2</v>
      </c>
      <c r="M83" s="38">
        <f t="shared" si="5"/>
        <v>21.02</v>
      </c>
      <c r="N83" s="29"/>
      <c r="O83" s="29"/>
      <c r="P83" s="131"/>
    </row>
    <row r="84" spans="2:16" x14ac:dyDescent="0.3">
      <c r="B84" s="154"/>
      <c r="C84" s="220" t="s">
        <v>216</v>
      </c>
      <c r="D84" s="220" t="s">
        <v>146</v>
      </c>
      <c r="E84" s="220" t="b">
        <v>1</v>
      </c>
      <c r="F84" s="220" t="s">
        <v>22</v>
      </c>
      <c r="G84" s="220" t="s">
        <v>9</v>
      </c>
      <c r="H84" s="47" t="str">
        <f t="shared" si="2"/>
        <v>Hortic|TRUE|900to1200|FreeDrain</v>
      </c>
      <c r="I84" s="151">
        <v>0.13</v>
      </c>
      <c r="J84" s="151">
        <v>22.64</v>
      </c>
      <c r="K84" s="37" t="str">
        <f t="shared" si="3"/>
        <v>Hortic|900to1200</v>
      </c>
      <c r="L84" s="151">
        <f t="shared" si="4"/>
        <v>0.13</v>
      </c>
      <c r="M84" s="38">
        <f t="shared" si="5"/>
        <v>22.64</v>
      </c>
      <c r="N84" s="29"/>
      <c r="O84" s="29"/>
      <c r="P84" s="131"/>
    </row>
    <row r="85" spans="2:16" x14ac:dyDescent="0.3">
      <c r="B85" s="154"/>
      <c r="C85" s="220" t="s">
        <v>216</v>
      </c>
      <c r="D85" s="220" t="s">
        <v>42</v>
      </c>
      <c r="E85" s="220" t="b">
        <v>1</v>
      </c>
      <c r="F85" s="220" t="s">
        <v>12</v>
      </c>
      <c r="G85" s="220" t="s">
        <v>9</v>
      </c>
      <c r="H85" s="47" t="str">
        <f t="shared" si="2"/>
        <v>Pig|TRUE|700to900|FreeDrain</v>
      </c>
      <c r="I85" s="151">
        <v>0.08</v>
      </c>
      <c r="J85" s="151">
        <v>63.94</v>
      </c>
      <c r="K85" s="37" t="str">
        <f t="shared" si="3"/>
        <v>Pig|700to900</v>
      </c>
      <c r="L85" s="151">
        <f t="shared" si="4"/>
        <v>0.08</v>
      </c>
      <c r="M85" s="38">
        <f t="shared" si="5"/>
        <v>63.94</v>
      </c>
      <c r="N85" s="29"/>
      <c r="O85" s="29"/>
      <c r="P85" s="131"/>
    </row>
    <row r="86" spans="2:16" x14ac:dyDescent="0.3">
      <c r="B86" s="154"/>
      <c r="C86" s="220" t="s">
        <v>216</v>
      </c>
      <c r="D86" s="220" t="s">
        <v>47</v>
      </c>
      <c r="E86" s="220" t="b">
        <v>1</v>
      </c>
      <c r="F86" s="220" t="s">
        <v>12</v>
      </c>
      <c r="G86" s="220" t="s">
        <v>9</v>
      </c>
      <c r="H86" s="47" t="str">
        <f t="shared" si="2"/>
        <v>Poultry|TRUE|700to900|FreeDrain</v>
      </c>
      <c r="I86" s="151">
        <v>7.0000000000000007E-2</v>
      </c>
      <c r="J86" s="151">
        <v>68.61</v>
      </c>
      <c r="K86" s="37" t="str">
        <f t="shared" si="3"/>
        <v>Poultry|700to900</v>
      </c>
      <c r="L86" s="151">
        <f t="shared" si="4"/>
        <v>7.0000000000000007E-2</v>
      </c>
      <c r="M86" s="38">
        <f t="shared" si="5"/>
        <v>68.61</v>
      </c>
      <c r="N86" s="29"/>
      <c r="O86" s="29"/>
      <c r="P86" s="131"/>
    </row>
    <row r="87" spans="2:16" x14ac:dyDescent="0.3">
      <c r="B87" s="154"/>
      <c r="C87" s="220" t="s">
        <v>216</v>
      </c>
      <c r="D87" s="220" t="s">
        <v>55</v>
      </c>
      <c r="E87" s="220" t="b">
        <v>1</v>
      </c>
      <c r="F87" s="220" t="s">
        <v>12</v>
      </c>
      <c r="G87" s="220" t="s">
        <v>9</v>
      </c>
      <c r="H87" s="47" t="str">
        <f t="shared" si="2"/>
        <v>Dairy|TRUE|700to900|FreeDrain</v>
      </c>
      <c r="I87" s="151">
        <v>0.08</v>
      </c>
      <c r="J87" s="151">
        <v>41.23</v>
      </c>
      <c r="K87" s="37" t="str">
        <f t="shared" si="3"/>
        <v>Dairy|700to900</v>
      </c>
      <c r="L87" s="151">
        <f t="shared" si="4"/>
        <v>0.08</v>
      </c>
      <c r="M87" s="38">
        <f t="shared" si="5"/>
        <v>41.23</v>
      </c>
      <c r="N87" s="29"/>
      <c r="O87" s="29"/>
      <c r="P87" s="131"/>
    </row>
    <row r="88" spans="2:16" x14ac:dyDescent="0.3">
      <c r="B88" s="154"/>
      <c r="C88" s="220" t="s">
        <v>216</v>
      </c>
      <c r="D88" s="220" t="s">
        <v>58</v>
      </c>
      <c r="E88" s="220" t="b">
        <v>1</v>
      </c>
      <c r="F88" s="220" t="s">
        <v>12</v>
      </c>
      <c r="G88" s="220" t="s">
        <v>9</v>
      </c>
      <c r="H88" s="47" t="str">
        <f t="shared" si="2"/>
        <v>Lowland|TRUE|700to900|FreeDrain</v>
      </c>
      <c r="I88" s="151">
        <v>0.05</v>
      </c>
      <c r="J88" s="151">
        <v>11.74</v>
      </c>
      <c r="K88" s="37" t="str">
        <f t="shared" si="3"/>
        <v>Lowland|700to900</v>
      </c>
      <c r="L88" s="151">
        <f t="shared" si="4"/>
        <v>0.05</v>
      </c>
      <c r="M88" s="38">
        <f t="shared" si="5"/>
        <v>11.74</v>
      </c>
      <c r="N88" s="29"/>
      <c r="O88" s="29"/>
      <c r="P88" s="131"/>
    </row>
    <row r="89" spans="2:16" x14ac:dyDescent="0.3">
      <c r="B89" s="154"/>
      <c r="C89" s="220" t="s">
        <v>216</v>
      </c>
      <c r="D89" s="220" t="s">
        <v>58</v>
      </c>
      <c r="E89" s="220" t="b">
        <v>1</v>
      </c>
      <c r="F89" s="220" t="s">
        <v>12</v>
      </c>
      <c r="G89" s="220" t="s">
        <v>10</v>
      </c>
      <c r="H89" s="47" t="str">
        <f t="shared" si="2"/>
        <v>Lowland|TRUE|700to900|DrainedAr</v>
      </c>
      <c r="I89" s="151">
        <v>0.15</v>
      </c>
      <c r="J89" s="151">
        <v>9.09</v>
      </c>
      <c r="K89" s="37" t="str">
        <f t="shared" si="3"/>
        <v>Lowland|700to900</v>
      </c>
      <c r="L89" s="151">
        <f t="shared" si="4"/>
        <v>0.15</v>
      </c>
      <c r="M89" s="38">
        <f t="shared" si="5"/>
        <v>9.09</v>
      </c>
      <c r="N89" s="29"/>
      <c r="O89" s="29"/>
      <c r="P89" s="131"/>
    </row>
    <row r="90" spans="2:16" x14ac:dyDescent="0.3">
      <c r="B90" s="154"/>
      <c r="C90" s="220" t="s">
        <v>216</v>
      </c>
      <c r="D90" s="220" t="s">
        <v>58</v>
      </c>
      <c r="E90" s="220" t="b">
        <v>1</v>
      </c>
      <c r="F90" s="220" t="s">
        <v>22</v>
      </c>
      <c r="G90" s="220" t="s">
        <v>9</v>
      </c>
      <c r="H90" s="47" t="str">
        <f t="shared" si="2"/>
        <v>Lowland|TRUE|900to1200|FreeDrain</v>
      </c>
      <c r="I90" s="151">
        <v>0.09</v>
      </c>
      <c r="J90" s="151">
        <v>12.65</v>
      </c>
      <c r="K90" s="37" t="str">
        <f t="shared" si="3"/>
        <v>Lowland|900to1200</v>
      </c>
      <c r="L90" s="151">
        <f t="shared" si="4"/>
        <v>0.09</v>
      </c>
      <c r="M90" s="38">
        <f t="shared" si="5"/>
        <v>12.65</v>
      </c>
      <c r="N90" s="29"/>
      <c r="O90" s="29"/>
      <c r="P90" s="131"/>
    </row>
    <row r="91" spans="2:16" x14ac:dyDescent="0.3">
      <c r="B91" s="154"/>
      <c r="C91" s="220" t="s">
        <v>216</v>
      </c>
      <c r="D91" s="220" t="s">
        <v>59</v>
      </c>
      <c r="E91" s="220" t="b">
        <v>1</v>
      </c>
      <c r="F91" s="220" t="s">
        <v>12</v>
      </c>
      <c r="G91" s="220" t="s">
        <v>9</v>
      </c>
      <c r="H91" s="47" t="str">
        <f t="shared" si="2"/>
        <v>Mixed|TRUE|700to900|FreeDrain</v>
      </c>
      <c r="I91" s="151">
        <v>0.08</v>
      </c>
      <c r="J91" s="151">
        <v>24.27</v>
      </c>
      <c r="K91" s="37" t="str">
        <f t="shared" si="3"/>
        <v>Mixed|700to900</v>
      </c>
      <c r="L91" s="151">
        <f t="shared" si="4"/>
        <v>0.08</v>
      </c>
      <c r="M91" s="38">
        <f t="shared" si="5"/>
        <v>24.27</v>
      </c>
      <c r="N91" s="29"/>
      <c r="O91" s="29"/>
      <c r="P91" s="131"/>
    </row>
    <row r="92" spans="2:16" x14ac:dyDescent="0.3">
      <c r="B92" s="154"/>
      <c r="C92" s="220" t="s">
        <v>216</v>
      </c>
      <c r="D92" s="220" t="s">
        <v>59</v>
      </c>
      <c r="E92" s="220" t="b">
        <v>1</v>
      </c>
      <c r="F92" s="220" t="s">
        <v>22</v>
      </c>
      <c r="G92" s="220" t="s">
        <v>9</v>
      </c>
      <c r="H92" s="47" t="str">
        <f t="shared" si="2"/>
        <v>Mixed|TRUE|900to1200|FreeDrain</v>
      </c>
      <c r="I92" s="151">
        <v>0.13</v>
      </c>
      <c r="J92" s="151">
        <v>25.84</v>
      </c>
      <c r="K92" s="37" t="str">
        <f t="shared" si="3"/>
        <v>Mixed|900to1200</v>
      </c>
      <c r="L92" s="151">
        <f t="shared" si="4"/>
        <v>0.13</v>
      </c>
      <c r="M92" s="38">
        <f t="shared" si="5"/>
        <v>25.84</v>
      </c>
      <c r="N92" s="29"/>
      <c r="O92" s="29"/>
      <c r="P92" s="131"/>
    </row>
    <row r="93" spans="2:16" x14ac:dyDescent="0.3">
      <c r="B93" s="154"/>
      <c r="C93" s="220" t="s">
        <v>115</v>
      </c>
      <c r="D93" s="220" t="s">
        <v>115</v>
      </c>
      <c r="E93" s="220" t="s">
        <v>115</v>
      </c>
      <c r="F93" s="220" t="s">
        <v>115</v>
      </c>
      <c r="G93" s="232" t="s">
        <v>60</v>
      </c>
      <c r="H93" s="47" t="str">
        <f>"|"&amp;"|"&amp;"|"&amp;G93</f>
        <v>|||Greenspace</v>
      </c>
      <c r="I93" s="233">
        <v>0.02</v>
      </c>
      <c r="J93" s="38">
        <v>3</v>
      </c>
      <c r="K93" s="28"/>
      <c r="L93" s="218"/>
      <c r="M93" s="218"/>
      <c r="N93" s="218"/>
      <c r="O93" s="218"/>
      <c r="P93" s="131"/>
    </row>
    <row r="94" spans="2:16" x14ac:dyDescent="0.3">
      <c r="B94" s="154"/>
      <c r="C94" s="220" t="s">
        <v>115</v>
      </c>
      <c r="D94" s="220" t="s">
        <v>115</v>
      </c>
      <c r="E94" s="220" t="s">
        <v>115</v>
      </c>
      <c r="F94" s="220" t="s">
        <v>115</v>
      </c>
      <c r="G94" s="232" t="s">
        <v>66</v>
      </c>
      <c r="H94" s="47" t="str">
        <f>"|"&amp;"|"&amp;"|"&amp;G94</f>
        <v>|||Community food growing</v>
      </c>
      <c r="I94" s="221">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22">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18"/>
      <c r="L94" s="218"/>
      <c r="M94" s="218"/>
      <c r="N94" s="218"/>
      <c r="O94" s="218"/>
      <c r="P94" s="131"/>
    </row>
    <row r="95" spans="2:16" x14ac:dyDescent="0.3">
      <c r="B95" s="154"/>
      <c r="C95" s="220" t="s">
        <v>115</v>
      </c>
      <c r="D95" s="220" t="s">
        <v>115</v>
      </c>
      <c r="E95" s="220" t="s">
        <v>115</v>
      </c>
      <c r="F95" s="220" t="s">
        <v>115</v>
      </c>
      <c r="G95" s="232" t="s">
        <v>61</v>
      </c>
      <c r="H95" s="47" t="str">
        <f>"|"&amp;"|"&amp;"|"&amp;G95</f>
        <v>|||Woodland</v>
      </c>
      <c r="I95" s="233">
        <v>0.02</v>
      </c>
      <c r="J95" s="38">
        <v>3</v>
      </c>
      <c r="K95" s="28"/>
      <c r="L95" s="218"/>
      <c r="M95" s="218"/>
      <c r="N95" s="218"/>
      <c r="O95" s="218"/>
      <c r="P95" s="131"/>
    </row>
    <row r="96" spans="2:16" x14ac:dyDescent="0.3">
      <c r="B96" s="154"/>
      <c r="C96" s="220" t="s">
        <v>115</v>
      </c>
      <c r="D96" s="220" t="s">
        <v>115</v>
      </c>
      <c r="E96" s="220" t="s">
        <v>115</v>
      </c>
      <c r="F96" s="220" t="s">
        <v>115</v>
      </c>
      <c r="G96" s="232" t="s">
        <v>62</v>
      </c>
      <c r="H96" s="47" t="str">
        <f>"|"&amp;"|"&amp;"|"&amp;G96</f>
        <v>|||Shrub</v>
      </c>
      <c r="I96" s="233">
        <v>0.02</v>
      </c>
      <c r="J96" s="38">
        <v>3</v>
      </c>
      <c r="K96" s="28"/>
      <c r="L96" s="218"/>
      <c r="M96" s="218"/>
      <c r="N96" s="218"/>
      <c r="O96" s="218"/>
      <c r="P96" s="131"/>
    </row>
    <row r="97" spans="2:16" x14ac:dyDescent="0.3">
      <c r="B97" s="154"/>
      <c r="C97" s="220" t="s">
        <v>115</v>
      </c>
      <c r="D97" s="220" t="s">
        <v>115</v>
      </c>
      <c r="E97" s="220" t="s">
        <v>115</v>
      </c>
      <c r="F97" s="220" t="s">
        <v>115</v>
      </c>
      <c r="G97" s="232" t="s">
        <v>63</v>
      </c>
      <c r="H97" s="47" t="str">
        <f>"|"&amp;"|"&amp;"|"&amp;G97</f>
        <v>|||Water</v>
      </c>
      <c r="I97" s="233">
        <v>0</v>
      </c>
      <c r="J97" s="38">
        <v>0</v>
      </c>
      <c r="K97" s="28"/>
      <c r="L97" s="218"/>
      <c r="M97" s="218"/>
      <c r="N97" s="218"/>
      <c r="O97" s="218"/>
      <c r="P97" s="131"/>
    </row>
    <row r="98" spans="2:16" x14ac:dyDescent="0.3">
      <c r="B98" s="154"/>
      <c r="C98" s="220" t="s">
        <v>115</v>
      </c>
      <c r="D98" s="220" t="s">
        <v>115</v>
      </c>
      <c r="E98" s="220" t="s">
        <v>115</v>
      </c>
      <c r="F98" s="220" t="s">
        <v>115</v>
      </c>
      <c r="G98" s="47" t="s">
        <v>64</v>
      </c>
      <c r="H98" s="47" t="str">
        <f t="shared" ref="H98:H100" si="6">"|"&amp;"|"&amp;"|"&amp;G98</f>
        <v>|||Residential urban land</v>
      </c>
      <c r="I98" s="151">
        <f>VLOOKUP('Stage 2'!E11,Lookups!C104:H126,6,FALSE)</f>
        <v>1.6513689268999994</v>
      </c>
      <c r="J98" s="38">
        <f>VLOOKUP('Stage 2'!E11,Lookups!C104:K126,9,FALSE)</f>
        <v>15.377636671499994</v>
      </c>
      <c r="K98" s="28"/>
      <c r="L98" s="218"/>
      <c r="M98" s="218"/>
      <c r="N98" s="218"/>
      <c r="O98" s="218"/>
      <c r="P98" s="131"/>
    </row>
    <row r="99" spans="2:16" x14ac:dyDescent="0.3">
      <c r="B99" s="154"/>
      <c r="C99" s="220" t="s">
        <v>115</v>
      </c>
      <c r="D99" s="220" t="s">
        <v>115</v>
      </c>
      <c r="E99" s="220" t="s">
        <v>115</v>
      </c>
      <c r="F99" s="220" t="s">
        <v>115</v>
      </c>
      <c r="G99" s="47" t="s">
        <v>245</v>
      </c>
      <c r="H99" s="47" t="str">
        <f t="shared" si="6"/>
        <v>|||Commercial/industrial urban land</v>
      </c>
      <c r="I99" s="151">
        <f>VLOOKUP('Stage 2'!E11,Lookups!C104:I126,7,FALSE)</f>
        <v>1.2083187269999995</v>
      </c>
      <c r="J99" s="38">
        <f>VLOOKUP('Stage 2'!E11,Lookups!C104:M126,10,FALSE)</f>
        <v>8.2014062247999959</v>
      </c>
      <c r="K99" s="28"/>
      <c r="L99" s="218"/>
      <c r="M99" s="218"/>
      <c r="N99" s="218"/>
      <c r="O99" s="218"/>
      <c r="P99" s="131"/>
    </row>
    <row r="100" spans="2:16" x14ac:dyDescent="0.3">
      <c r="B100" s="154"/>
      <c r="C100" s="220" t="s">
        <v>115</v>
      </c>
      <c r="D100" s="220" t="s">
        <v>115</v>
      </c>
      <c r="E100" s="220" t="s">
        <v>115</v>
      </c>
      <c r="F100" s="220" t="s">
        <v>115</v>
      </c>
      <c r="G100" s="47" t="s">
        <v>65</v>
      </c>
      <c r="H100" s="47" t="str">
        <f t="shared" si="6"/>
        <v>|||Open urban land</v>
      </c>
      <c r="I100" s="151">
        <f>VLOOKUP('Stage 2'!E11,Lookups!C104:J126,8,FALSE)</f>
        <v>0.88610039979999966</v>
      </c>
      <c r="J100" s="38">
        <f>VLOOKUP('Stage 2'!E11,Lookups!C104:P126,11,FALSE)</f>
        <v>9.064712143199996</v>
      </c>
      <c r="K100" s="28"/>
      <c r="L100" s="218"/>
      <c r="M100" s="218"/>
      <c r="N100" s="218"/>
      <c r="O100" s="218"/>
      <c r="P100" s="131"/>
    </row>
    <row r="101" spans="2:16" x14ac:dyDescent="0.3">
      <c r="B101" s="154"/>
      <c r="C101" s="28"/>
      <c r="D101" s="28"/>
      <c r="E101" s="28"/>
      <c r="F101" s="28"/>
      <c r="G101" s="28"/>
      <c r="H101" s="28"/>
      <c r="I101" s="29"/>
      <c r="J101" s="29"/>
      <c r="K101" s="28"/>
      <c r="L101" s="218"/>
      <c r="M101" s="218"/>
      <c r="N101" s="218"/>
      <c r="O101" s="218"/>
      <c r="P101" s="131"/>
    </row>
    <row r="102" spans="2:16" x14ac:dyDescent="0.3">
      <c r="B102" s="154"/>
      <c r="C102" s="28" t="s">
        <v>198</v>
      </c>
      <c r="D102" s="28"/>
      <c r="E102" s="28"/>
      <c r="F102" s="28"/>
      <c r="G102" s="28"/>
      <c r="H102" s="28"/>
      <c r="I102" s="29"/>
      <c r="J102" s="29"/>
      <c r="K102" s="28"/>
      <c r="L102" s="218"/>
      <c r="M102" s="218"/>
      <c r="N102" s="218"/>
      <c r="O102" s="218"/>
      <c r="P102" s="131"/>
    </row>
    <row r="103" spans="2:16" ht="28.2" thickBot="1" x14ac:dyDescent="0.35">
      <c r="B103" s="154"/>
      <c r="C103" s="36" t="s">
        <v>29</v>
      </c>
      <c r="D103" s="50" t="s">
        <v>116</v>
      </c>
      <c r="E103" s="50" t="s">
        <v>117</v>
      </c>
      <c r="F103" s="50" t="s">
        <v>125</v>
      </c>
      <c r="G103" s="50" t="s">
        <v>201</v>
      </c>
      <c r="H103" s="50" t="s">
        <v>122</v>
      </c>
      <c r="I103" s="50" t="s">
        <v>123</v>
      </c>
      <c r="J103" s="50" t="s">
        <v>124</v>
      </c>
      <c r="K103" s="50" t="s">
        <v>119</v>
      </c>
      <c r="L103" s="36" t="s">
        <v>120</v>
      </c>
      <c r="M103" s="153" t="s">
        <v>121</v>
      </c>
      <c r="N103" s="129"/>
      <c r="O103" s="129"/>
      <c r="P103" s="131"/>
    </row>
    <row r="104" spans="2:16" ht="15" thickTop="1" x14ac:dyDescent="0.3">
      <c r="B104" s="154"/>
      <c r="C104" s="51" t="s">
        <v>30</v>
      </c>
      <c r="D104" s="221">
        <v>516.5</v>
      </c>
      <c r="E104" s="54" t="s">
        <v>118</v>
      </c>
      <c r="F104" s="221">
        <v>47.366326420209788</v>
      </c>
      <c r="G104" s="221">
        <v>63.946326420209786</v>
      </c>
      <c r="H104" s="221">
        <v>1.0030530114375726</v>
      </c>
      <c r="I104" s="221">
        <v>0.73394122788115068</v>
      </c>
      <c r="J104" s="221">
        <v>0.5382235671128438</v>
      </c>
      <c r="K104" s="221">
        <v>9.4130591148709328</v>
      </c>
      <c r="L104" s="223">
        <v>5.0202981945978298</v>
      </c>
      <c r="M104" s="222">
        <v>5.5487506361344439</v>
      </c>
      <c r="N104" s="224"/>
      <c r="O104" s="224"/>
      <c r="P104" s="131"/>
    </row>
    <row r="105" spans="2:16" x14ac:dyDescent="0.3">
      <c r="B105" s="154"/>
      <c r="C105" s="51" t="s">
        <v>31</v>
      </c>
      <c r="D105" s="221">
        <v>537.54999999999995</v>
      </c>
      <c r="E105" s="54" t="s">
        <v>118</v>
      </c>
      <c r="F105" s="221">
        <v>47.605509573313697</v>
      </c>
      <c r="G105" s="221">
        <v>64.185509573313695</v>
      </c>
      <c r="H105" s="221">
        <v>1.049204008516526</v>
      </c>
      <c r="I105" s="221">
        <v>0.76771025013404326</v>
      </c>
      <c r="J105" s="221">
        <v>0.56298751676496517</v>
      </c>
      <c r="K105" s="221">
        <v>9.8333323912734105</v>
      </c>
      <c r="L105" s="223">
        <v>5.2444439420124853</v>
      </c>
      <c r="M105" s="222">
        <v>5.7964906727506413</v>
      </c>
      <c r="N105" s="224"/>
      <c r="O105" s="224"/>
      <c r="P105" s="131"/>
    </row>
    <row r="106" spans="2:16" x14ac:dyDescent="0.3">
      <c r="B106" s="154"/>
      <c r="C106" s="51" t="s">
        <v>33</v>
      </c>
      <c r="D106" s="221">
        <v>562.54999999999995</v>
      </c>
      <c r="E106" s="54" t="s">
        <v>118</v>
      </c>
      <c r="F106" s="221">
        <v>47.8624816470968</v>
      </c>
      <c r="G106" s="221">
        <v>64.442481647096798</v>
      </c>
      <c r="H106" s="221">
        <v>1.1039266010735462</v>
      </c>
      <c r="I106" s="221">
        <v>0.80775117151722908</v>
      </c>
      <c r="J106" s="221">
        <v>0.59235085911263463</v>
      </c>
      <c r="K106" s="221">
        <v>10.331853644413675</v>
      </c>
      <c r="L106" s="223">
        <v>5.5103219436872939</v>
      </c>
      <c r="M106" s="222">
        <v>6.0903558324964822</v>
      </c>
      <c r="N106" s="224"/>
      <c r="O106" s="224"/>
      <c r="P106" s="131"/>
    </row>
    <row r="107" spans="2:16" x14ac:dyDescent="0.3">
      <c r="B107" s="154"/>
      <c r="C107" s="51" t="s">
        <v>34</v>
      </c>
      <c r="D107" s="221">
        <v>587.54999999999995</v>
      </c>
      <c r="E107" s="54" t="s">
        <v>118</v>
      </c>
      <c r="F107" s="221">
        <v>48.089720428979902</v>
      </c>
      <c r="G107" s="221">
        <v>64.6697204289799</v>
      </c>
      <c r="H107" s="221">
        <v>1.1584597247599329</v>
      </c>
      <c r="I107" s="221">
        <v>0.84765345714141427</v>
      </c>
      <c r="J107" s="221">
        <v>0.62161253523703719</v>
      </c>
      <c r="K107" s="221">
        <v>10.829057857843434</v>
      </c>
      <c r="L107" s="223">
        <v>5.775497524183165</v>
      </c>
      <c r="M107" s="222">
        <v>6.3834446319919191</v>
      </c>
      <c r="N107" s="224"/>
      <c r="O107" s="224"/>
      <c r="P107" s="131"/>
    </row>
    <row r="108" spans="2:16" x14ac:dyDescent="0.3">
      <c r="B108" s="154"/>
      <c r="C108" s="51" t="s">
        <v>35</v>
      </c>
      <c r="D108" s="221">
        <v>612.54999999999995</v>
      </c>
      <c r="E108" s="54" t="s">
        <v>8</v>
      </c>
      <c r="F108" s="221">
        <v>48.286892468962989</v>
      </c>
      <c r="G108" s="221">
        <v>64.866892468962988</v>
      </c>
      <c r="H108" s="221">
        <v>1.2127035752563942</v>
      </c>
      <c r="I108" s="221">
        <v>0.88734407945589822</v>
      </c>
      <c r="J108" s="221">
        <v>0.650718991600992</v>
      </c>
      <c r="K108" s="221">
        <v>11.324251269831036</v>
      </c>
      <c r="L108" s="223">
        <v>6.0396006772432189</v>
      </c>
      <c r="M108" s="222">
        <v>6.6753481169530309</v>
      </c>
      <c r="N108" s="224"/>
      <c r="O108" s="224"/>
      <c r="P108" s="131"/>
    </row>
    <row r="109" spans="2:16" x14ac:dyDescent="0.3">
      <c r="B109" s="154"/>
      <c r="C109" s="51" t="s">
        <v>36</v>
      </c>
      <c r="D109" s="221">
        <v>637.54999999999995</v>
      </c>
      <c r="E109" s="54" t="s">
        <v>8</v>
      </c>
      <c r="F109" s="221">
        <v>48.453664317046091</v>
      </c>
      <c r="G109" s="221">
        <v>65.033664317046089</v>
      </c>
      <c r="H109" s="221">
        <v>1.2665569810986419</v>
      </c>
      <c r="I109" s="221">
        <v>0.92674901055998193</v>
      </c>
      <c r="J109" s="221">
        <v>0.67961594107732015</v>
      </c>
      <c r="K109" s="221">
        <v>11.816730615319829</v>
      </c>
      <c r="L109" s="223">
        <v>6.302256328170575</v>
      </c>
      <c r="M109" s="222">
        <v>6.9656517311358979</v>
      </c>
      <c r="N109" s="224"/>
      <c r="O109" s="224"/>
      <c r="P109" s="131"/>
    </row>
    <row r="110" spans="2:16" x14ac:dyDescent="0.3">
      <c r="B110" s="154"/>
      <c r="C110" s="51" t="s">
        <v>37</v>
      </c>
      <c r="D110" s="221">
        <v>662.55</v>
      </c>
      <c r="E110" s="54" t="s">
        <v>8</v>
      </c>
      <c r="F110" s="221">
        <v>48.589702523229192</v>
      </c>
      <c r="G110" s="221">
        <v>65.169702523229191</v>
      </c>
      <c r="H110" s="221">
        <v>1.3199174036773855</v>
      </c>
      <c r="I110" s="221">
        <v>0.96579322220296504</v>
      </c>
      <c r="J110" s="221">
        <v>0.70824836294884108</v>
      </c>
      <c r="K110" s="221">
        <v>12.305783125928167</v>
      </c>
      <c r="L110" s="223">
        <v>6.5630843338283551</v>
      </c>
      <c r="M110" s="222">
        <v>7.2539353163366025</v>
      </c>
      <c r="N110" s="224"/>
      <c r="O110" s="224"/>
      <c r="P110" s="131"/>
    </row>
    <row r="111" spans="2:16" x14ac:dyDescent="0.3">
      <c r="B111" s="154"/>
      <c r="C111" s="51" t="s">
        <v>38</v>
      </c>
      <c r="D111" s="221">
        <v>687.55</v>
      </c>
      <c r="E111" s="54" t="s">
        <v>8</v>
      </c>
      <c r="F111" s="221">
        <v>48.694673637512295</v>
      </c>
      <c r="G111" s="221">
        <v>65.274673637512294</v>
      </c>
      <c r="H111" s="221">
        <v>1.3726809372383346</v>
      </c>
      <c r="I111" s="221">
        <v>1.0044006857841474</v>
      </c>
      <c r="J111" s="221">
        <v>0.73656050290837471</v>
      </c>
      <c r="K111" s="221">
        <v>12.790686529949399</v>
      </c>
      <c r="L111" s="223">
        <v>6.82169948263968</v>
      </c>
      <c r="M111" s="222">
        <v>7.5397731123912237</v>
      </c>
      <c r="N111" s="224"/>
      <c r="O111" s="224"/>
      <c r="P111" s="131"/>
    </row>
    <row r="112" spans="2:16" x14ac:dyDescent="0.3">
      <c r="B112" s="154"/>
      <c r="C112" s="51" t="s">
        <v>39</v>
      </c>
      <c r="D112" s="221">
        <v>725.05</v>
      </c>
      <c r="E112" s="54" t="s">
        <v>12</v>
      </c>
      <c r="F112" s="221">
        <v>48.793150089749446</v>
      </c>
      <c r="G112" s="221">
        <v>65.373150089749444</v>
      </c>
      <c r="H112" s="221">
        <v>1.4504764123754863</v>
      </c>
      <c r="I112" s="221">
        <v>1.0613242041771849</v>
      </c>
      <c r="J112" s="221">
        <v>0.77830441639660242</v>
      </c>
      <c r="K112" s="221">
        <v>13.508658704683258</v>
      </c>
      <c r="L112" s="223">
        <v>7.20461797583107</v>
      </c>
      <c r="M112" s="222">
        <v>7.9629988153922353</v>
      </c>
      <c r="N112" s="224"/>
      <c r="O112" s="224"/>
      <c r="P112" s="131"/>
    </row>
    <row r="113" spans="2:16" x14ac:dyDescent="0.3">
      <c r="B113" s="154"/>
      <c r="C113" s="51" t="s">
        <v>40</v>
      </c>
      <c r="D113" s="221">
        <v>775.05</v>
      </c>
      <c r="E113" s="54" t="s">
        <v>12</v>
      </c>
      <c r="F113" s="221">
        <v>48.817999999999984</v>
      </c>
      <c r="G113" s="221">
        <v>65.397999999999982</v>
      </c>
      <c r="H113" s="221">
        <v>1.5512920268999992</v>
      </c>
      <c r="I113" s="221">
        <v>1.1350917269999994</v>
      </c>
      <c r="J113" s="221">
        <v>0.83240059979999959</v>
      </c>
      <c r="K113" s="221">
        <v>14.445715171499996</v>
      </c>
      <c r="L113" s="223">
        <v>7.7043814247999975</v>
      </c>
      <c r="M113" s="222">
        <v>8.5153689431999986</v>
      </c>
      <c r="N113" s="224"/>
      <c r="O113" s="224"/>
      <c r="P113" s="131"/>
    </row>
    <row r="114" spans="2:16" x14ac:dyDescent="0.3">
      <c r="B114" s="154"/>
      <c r="C114" s="51" t="s">
        <v>41</v>
      </c>
      <c r="D114" s="221">
        <v>825.05</v>
      </c>
      <c r="E114" s="54" t="s">
        <v>12</v>
      </c>
      <c r="F114" s="221">
        <v>48.817999999999984</v>
      </c>
      <c r="G114" s="221">
        <v>65.397999999999982</v>
      </c>
      <c r="H114" s="221">
        <v>1.6513689268999994</v>
      </c>
      <c r="I114" s="221">
        <v>1.2083187269999995</v>
      </c>
      <c r="J114" s="221">
        <v>0.88610039979999966</v>
      </c>
      <c r="K114" s="221">
        <v>15.377636671499994</v>
      </c>
      <c r="L114" s="223">
        <v>8.2014062247999959</v>
      </c>
      <c r="M114" s="222">
        <v>9.064712143199996</v>
      </c>
      <c r="N114" s="224"/>
      <c r="O114" s="224"/>
      <c r="P114" s="131"/>
    </row>
    <row r="115" spans="2:16" x14ac:dyDescent="0.3">
      <c r="B115" s="154"/>
      <c r="C115" s="51" t="s">
        <v>43</v>
      </c>
      <c r="D115" s="221">
        <v>875.05</v>
      </c>
      <c r="E115" s="54" t="s">
        <v>12</v>
      </c>
      <c r="F115" s="221">
        <v>48.817999999999984</v>
      </c>
      <c r="G115" s="221">
        <v>65.397999999999982</v>
      </c>
      <c r="H115" s="221">
        <v>1.7514458268999995</v>
      </c>
      <c r="I115" s="221">
        <v>1.2815457269999997</v>
      </c>
      <c r="J115" s="221">
        <v>0.93980019979999974</v>
      </c>
      <c r="K115" s="221">
        <v>16.309558171499994</v>
      </c>
      <c r="L115" s="223">
        <v>8.6984310247999979</v>
      </c>
      <c r="M115" s="222">
        <v>9.6140553431999969</v>
      </c>
      <c r="N115" s="224"/>
      <c r="O115" s="224"/>
      <c r="P115" s="131"/>
    </row>
    <row r="116" spans="2:16" x14ac:dyDescent="0.3">
      <c r="B116" s="154"/>
      <c r="C116" s="51" t="s">
        <v>44</v>
      </c>
      <c r="D116" s="221">
        <v>925.05</v>
      </c>
      <c r="E116" s="54" t="s">
        <v>22</v>
      </c>
      <c r="F116" s="221">
        <v>48.817999999999984</v>
      </c>
      <c r="G116" s="221">
        <v>65.397999999999982</v>
      </c>
      <c r="H116" s="221">
        <v>1.851522726899999</v>
      </c>
      <c r="I116" s="221">
        <v>1.3547727269999992</v>
      </c>
      <c r="J116" s="221">
        <v>0.99349999979999948</v>
      </c>
      <c r="K116" s="221">
        <v>17.241479671499995</v>
      </c>
      <c r="L116" s="223">
        <v>9.1954558247999962</v>
      </c>
      <c r="M116" s="222">
        <v>10.163398543199996</v>
      </c>
      <c r="N116" s="224"/>
      <c r="O116" s="224"/>
      <c r="P116" s="131"/>
    </row>
    <row r="117" spans="2:16" x14ac:dyDescent="0.3">
      <c r="B117" s="154"/>
      <c r="C117" s="51" t="s">
        <v>45</v>
      </c>
      <c r="D117" s="221">
        <v>975.05</v>
      </c>
      <c r="E117" s="54" t="s">
        <v>22</v>
      </c>
      <c r="F117" s="221">
        <v>48.817999999999984</v>
      </c>
      <c r="G117" s="221">
        <v>65.397999999999982</v>
      </c>
      <c r="H117" s="221">
        <v>1.9515996268999991</v>
      </c>
      <c r="I117" s="221">
        <v>1.4279997269999993</v>
      </c>
      <c r="J117" s="221">
        <v>1.0471997997999996</v>
      </c>
      <c r="K117" s="221">
        <v>18.173401171499993</v>
      </c>
      <c r="L117" s="223">
        <v>9.6924806247999964</v>
      </c>
      <c r="M117" s="222">
        <v>10.712741743199995</v>
      </c>
      <c r="N117" s="224"/>
      <c r="O117" s="224"/>
      <c r="P117" s="131"/>
    </row>
    <row r="118" spans="2:16" x14ac:dyDescent="0.3">
      <c r="B118" s="154"/>
      <c r="C118" s="51" t="s">
        <v>46</v>
      </c>
      <c r="D118" s="221">
        <v>1050.05</v>
      </c>
      <c r="E118" s="54" t="s">
        <v>22</v>
      </c>
      <c r="F118" s="221">
        <v>48.817999999999984</v>
      </c>
      <c r="G118" s="221">
        <v>65.397999999999982</v>
      </c>
      <c r="H118" s="221">
        <v>2.101714976899999</v>
      </c>
      <c r="I118" s="221">
        <v>1.5378402269999993</v>
      </c>
      <c r="J118" s="221">
        <v>1.1277494997999997</v>
      </c>
      <c r="K118" s="221">
        <v>19.571283421499995</v>
      </c>
      <c r="L118" s="223">
        <v>10.438017824799996</v>
      </c>
      <c r="M118" s="222">
        <v>11.536756543199996</v>
      </c>
      <c r="N118" s="224"/>
      <c r="O118" s="224"/>
      <c r="P118" s="131"/>
    </row>
    <row r="119" spans="2:16" x14ac:dyDescent="0.3">
      <c r="B119" s="154"/>
      <c r="C119" s="51" t="s">
        <v>48</v>
      </c>
      <c r="D119" s="221">
        <v>1150.05</v>
      </c>
      <c r="E119" s="54" t="s">
        <v>22</v>
      </c>
      <c r="F119" s="221">
        <v>48.817999999999984</v>
      </c>
      <c r="G119" s="221">
        <v>65.397999999999982</v>
      </c>
      <c r="H119" s="221">
        <v>2.3018687768999988</v>
      </c>
      <c r="I119" s="221">
        <v>1.6842942269999992</v>
      </c>
      <c r="J119" s="221">
        <v>1.2351490997999994</v>
      </c>
      <c r="K119" s="221">
        <v>21.435126421499994</v>
      </c>
      <c r="L119" s="223">
        <v>11.432067424799996</v>
      </c>
      <c r="M119" s="222">
        <v>12.635442943199996</v>
      </c>
      <c r="N119" s="224"/>
      <c r="O119" s="224"/>
      <c r="P119" s="131"/>
    </row>
    <row r="120" spans="2:16" x14ac:dyDescent="0.3">
      <c r="B120" s="154"/>
      <c r="C120" s="51" t="s">
        <v>49</v>
      </c>
      <c r="D120" s="221">
        <v>1300.05</v>
      </c>
      <c r="E120" s="54" t="s">
        <v>27</v>
      </c>
      <c r="F120" s="221">
        <v>48.817999999999984</v>
      </c>
      <c r="G120" s="221">
        <v>65.397999999999982</v>
      </c>
      <c r="H120" s="221">
        <v>2.602099476899999</v>
      </c>
      <c r="I120" s="221">
        <v>1.9039752269999992</v>
      </c>
      <c r="J120" s="221">
        <v>1.3962484997999995</v>
      </c>
      <c r="K120" s="221">
        <v>24.230890921499991</v>
      </c>
      <c r="L120" s="223">
        <v>12.923141824799995</v>
      </c>
      <c r="M120" s="222">
        <v>14.283472543199993</v>
      </c>
      <c r="N120" s="224"/>
      <c r="O120" s="224"/>
      <c r="P120" s="131"/>
    </row>
    <row r="121" spans="2:16" x14ac:dyDescent="0.3">
      <c r="B121" s="154"/>
      <c r="C121" s="51" t="s">
        <v>50</v>
      </c>
      <c r="D121" s="221">
        <v>1500.05</v>
      </c>
      <c r="E121" s="54" t="s">
        <v>27</v>
      </c>
      <c r="F121" s="221">
        <v>48.817999999999984</v>
      </c>
      <c r="G121" s="221">
        <v>65.397999999999982</v>
      </c>
      <c r="H121" s="221">
        <v>3.0024070768999986</v>
      </c>
      <c r="I121" s="221">
        <v>2.1968832269999989</v>
      </c>
      <c r="J121" s="221">
        <v>1.6110476997999994</v>
      </c>
      <c r="K121" s="221">
        <v>27.95857692149999</v>
      </c>
      <c r="L121" s="223">
        <v>14.911241024799995</v>
      </c>
      <c r="M121" s="222">
        <v>16.480845343199995</v>
      </c>
      <c r="N121" s="224"/>
      <c r="O121" s="224"/>
      <c r="P121" s="131"/>
    </row>
    <row r="122" spans="2:16" x14ac:dyDescent="0.3">
      <c r="B122" s="154"/>
      <c r="C122" s="51" t="s">
        <v>51</v>
      </c>
      <c r="D122" s="221">
        <v>1800.05</v>
      </c>
      <c r="E122" s="54" t="s">
        <v>28</v>
      </c>
      <c r="F122" s="221">
        <v>48.817999999999984</v>
      </c>
      <c r="G122" s="221">
        <v>65.397999999999982</v>
      </c>
      <c r="H122" s="221">
        <v>3.6028684768999981</v>
      </c>
      <c r="I122" s="221">
        <v>2.6362452269999985</v>
      </c>
      <c r="J122" s="221">
        <v>1.9332464997999992</v>
      </c>
      <c r="K122" s="221">
        <v>33.550105921499991</v>
      </c>
      <c r="L122" s="223">
        <v>17.893389824799996</v>
      </c>
      <c r="M122" s="222">
        <v>19.776904543199993</v>
      </c>
      <c r="N122" s="224"/>
      <c r="O122" s="224"/>
      <c r="P122" s="131"/>
    </row>
    <row r="123" spans="2:16" x14ac:dyDescent="0.3">
      <c r="B123" s="154"/>
      <c r="C123" s="51" t="s">
        <v>52</v>
      </c>
      <c r="D123" s="221">
        <v>2200.0500000000002</v>
      </c>
      <c r="E123" s="54" t="s">
        <v>28</v>
      </c>
      <c r="F123" s="221">
        <v>48.817999999999984</v>
      </c>
      <c r="G123" s="221">
        <v>65.397999999999982</v>
      </c>
      <c r="H123" s="221">
        <v>4.4034836768999988</v>
      </c>
      <c r="I123" s="221">
        <v>3.2220612269999993</v>
      </c>
      <c r="J123" s="221">
        <v>2.3628448997999998</v>
      </c>
      <c r="K123" s="221">
        <v>41.005477921499988</v>
      </c>
      <c r="L123" s="223">
        <v>21.869588224799994</v>
      </c>
      <c r="M123" s="222">
        <v>24.17165014319999</v>
      </c>
      <c r="N123" s="224"/>
      <c r="O123" s="224"/>
      <c r="P123" s="131"/>
    </row>
    <row r="124" spans="2:16" x14ac:dyDescent="0.3">
      <c r="B124" s="154"/>
      <c r="C124" s="51" t="s">
        <v>53</v>
      </c>
      <c r="D124" s="221">
        <v>2700.05</v>
      </c>
      <c r="E124" s="54" t="s">
        <v>28</v>
      </c>
      <c r="F124" s="221">
        <v>48.817999999999984</v>
      </c>
      <c r="G124" s="221">
        <v>65.397999999999982</v>
      </c>
      <c r="H124" s="221">
        <v>5.4042526768999988</v>
      </c>
      <c r="I124" s="221">
        <v>3.9543312269999986</v>
      </c>
      <c r="J124" s="221">
        <v>2.8998428997999994</v>
      </c>
      <c r="K124" s="221">
        <v>50.324692921499988</v>
      </c>
      <c r="L124" s="223">
        <v>26.839836224799992</v>
      </c>
      <c r="M124" s="222">
        <v>29.665082143199992</v>
      </c>
      <c r="N124" s="224"/>
      <c r="O124" s="224"/>
      <c r="P124" s="131"/>
    </row>
    <row r="125" spans="2:16" x14ac:dyDescent="0.3">
      <c r="B125" s="154"/>
      <c r="C125" s="51" t="s">
        <v>54</v>
      </c>
      <c r="D125" s="221">
        <v>3500.05</v>
      </c>
      <c r="E125" s="54" t="s">
        <v>28</v>
      </c>
      <c r="F125" s="221">
        <v>48.817999999999984</v>
      </c>
      <c r="G125" s="221">
        <v>65.397999999999982</v>
      </c>
      <c r="H125" s="221">
        <v>7.0054830768999983</v>
      </c>
      <c r="I125" s="221">
        <v>5.1259632269999988</v>
      </c>
      <c r="J125" s="221">
        <v>3.7590396997999993</v>
      </c>
      <c r="K125" s="221">
        <v>65.235436921499982</v>
      </c>
      <c r="L125" s="223">
        <v>34.792233024799991</v>
      </c>
      <c r="M125" s="222">
        <v>38.454573343199982</v>
      </c>
      <c r="N125" s="224"/>
      <c r="O125" s="224"/>
      <c r="P125" s="131"/>
    </row>
    <row r="126" spans="2:16" x14ac:dyDescent="0.3">
      <c r="B126" s="154"/>
      <c r="C126" s="51" t="s">
        <v>56</v>
      </c>
      <c r="D126" s="221">
        <v>4750.05</v>
      </c>
      <c r="E126" s="54" t="s">
        <v>28</v>
      </c>
      <c r="F126" s="221">
        <v>48.817999999999984</v>
      </c>
      <c r="G126" s="221">
        <v>65.397999999999982</v>
      </c>
      <c r="H126" s="221">
        <v>9.5074055768999965</v>
      </c>
      <c r="I126" s="221">
        <v>6.9566382269999973</v>
      </c>
      <c r="J126" s="221">
        <v>5.1015346997999984</v>
      </c>
      <c r="K126" s="221">
        <v>88.533474421499989</v>
      </c>
      <c r="L126" s="223">
        <v>47.217853024799986</v>
      </c>
      <c r="M126" s="222">
        <v>52.188153343199986</v>
      </c>
      <c r="N126" s="224"/>
      <c r="O126" s="224"/>
      <c r="P126" s="131"/>
    </row>
    <row r="127" spans="2:16" x14ac:dyDescent="0.3">
      <c r="B127" s="154"/>
      <c r="C127" s="28"/>
      <c r="D127" s="28"/>
      <c r="E127" s="28"/>
      <c r="F127" s="28"/>
      <c r="G127" s="28"/>
      <c r="H127" s="28"/>
      <c r="I127" s="29"/>
      <c r="J127" s="29"/>
      <c r="K127" s="28"/>
      <c r="L127" s="218"/>
      <c r="M127" s="218"/>
      <c r="N127" s="218"/>
      <c r="O127" s="218"/>
      <c r="P127" s="131"/>
    </row>
    <row r="128" spans="2:16" x14ac:dyDescent="0.3">
      <c r="B128" s="154"/>
      <c r="C128" s="28" t="s">
        <v>130</v>
      </c>
      <c r="D128" s="28"/>
      <c r="E128" s="28"/>
      <c r="F128" s="28"/>
      <c r="G128" s="28" t="s">
        <v>132</v>
      </c>
      <c r="H128" s="28"/>
      <c r="I128" s="28" t="s">
        <v>133</v>
      </c>
      <c r="J128" s="29"/>
      <c r="K128" s="28"/>
      <c r="L128" s="218"/>
      <c r="M128" s="218"/>
      <c r="N128" s="218"/>
      <c r="O128" s="218"/>
      <c r="P128" s="131"/>
    </row>
    <row r="129" spans="2:16" ht="15" thickBot="1" x14ac:dyDescent="0.35">
      <c r="B129" s="154"/>
      <c r="C129" s="36" t="s">
        <v>5</v>
      </c>
      <c r="D129" s="43" t="s">
        <v>6</v>
      </c>
      <c r="E129" s="28"/>
      <c r="F129" s="28"/>
      <c r="G129" s="39" t="s">
        <v>128</v>
      </c>
      <c r="H129" s="28"/>
      <c r="I129" s="39" t="s">
        <v>127</v>
      </c>
      <c r="J129" s="29"/>
      <c r="K129" s="28"/>
      <c r="L129" s="218"/>
      <c r="M129" s="218"/>
      <c r="N129" s="218"/>
      <c r="O129" s="218"/>
      <c r="P129" s="131"/>
    </row>
    <row r="130" spans="2:16" ht="15" thickTop="1" x14ac:dyDescent="0.3">
      <c r="B130" s="154"/>
      <c r="C130" s="37" t="s">
        <v>82</v>
      </c>
      <c r="D130" s="44" t="s">
        <v>82</v>
      </c>
      <c r="E130" s="28"/>
      <c r="F130" s="28"/>
      <c r="G130" s="226" t="s">
        <v>7</v>
      </c>
      <c r="H130" s="28"/>
      <c r="I130" s="226" t="s">
        <v>7</v>
      </c>
      <c r="J130" s="29"/>
      <c r="K130" s="28"/>
      <c r="L130" s="218"/>
      <c r="M130" s="218"/>
      <c r="N130" s="218"/>
      <c r="O130" s="218"/>
      <c r="P130" s="131"/>
    </row>
    <row r="131" spans="2:16" x14ac:dyDescent="0.3">
      <c r="B131" s="154"/>
      <c r="C131" s="28"/>
      <c r="D131" s="28"/>
      <c r="E131" s="28"/>
      <c r="F131" s="28"/>
      <c r="G131" s="40" t="s">
        <v>25</v>
      </c>
      <c r="H131" s="28"/>
      <c r="I131" s="40" t="s">
        <v>25</v>
      </c>
      <c r="J131" s="29"/>
      <c r="K131" s="28"/>
      <c r="L131" s="218"/>
      <c r="M131" s="218"/>
      <c r="N131" s="218"/>
      <c r="O131" s="218"/>
      <c r="P131" s="131"/>
    </row>
    <row r="132" spans="2:16" x14ac:dyDescent="0.3">
      <c r="B132" s="154"/>
      <c r="C132" s="28"/>
      <c r="D132" s="28"/>
      <c r="E132" s="28"/>
      <c r="F132" s="28"/>
      <c r="G132" s="40" t="s">
        <v>32</v>
      </c>
      <c r="H132" s="28"/>
      <c r="I132" s="40" t="s">
        <v>32</v>
      </c>
      <c r="J132" s="218"/>
      <c r="K132" s="218"/>
      <c r="L132" s="218"/>
      <c r="M132" s="218"/>
      <c r="N132" s="218"/>
      <c r="O132" s="218"/>
      <c r="P132" s="131"/>
    </row>
    <row r="133" spans="2:16" x14ac:dyDescent="0.3">
      <c r="B133" s="154"/>
      <c r="C133" s="28" t="s">
        <v>129</v>
      </c>
      <c r="D133" s="28"/>
      <c r="E133" s="28"/>
      <c r="F133" s="28"/>
      <c r="G133" s="40" t="s">
        <v>42</v>
      </c>
      <c r="H133" s="31"/>
      <c r="I133" s="208" t="s">
        <v>42</v>
      </c>
      <c r="J133" s="218"/>
      <c r="K133" s="218"/>
      <c r="L133" s="218"/>
      <c r="M133" s="218"/>
      <c r="N133" s="218"/>
      <c r="O133" s="218"/>
      <c r="P133" s="131"/>
    </row>
    <row r="134" spans="2:16" ht="15" thickBot="1" x14ac:dyDescent="0.35">
      <c r="B134" s="154"/>
      <c r="C134" s="35" t="s">
        <v>13</v>
      </c>
      <c r="D134" s="34" t="s">
        <v>14</v>
      </c>
      <c r="E134" s="45" t="s">
        <v>15</v>
      </c>
      <c r="F134" s="28"/>
      <c r="G134" s="40" t="s">
        <v>47</v>
      </c>
      <c r="H134" s="28"/>
      <c r="I134" s="40" t="s">
        <v>47</v>
      </c>
      <c r="J134" s="218"/>
      <c r="K134" s="218"/>
      <c r="L134" s="218"/>
      <c r="M134" s="218"/>
      <c r="N134" s="218"/>
      <c r="O134" s="218"/>
      <c r="P134" s="131"/>
    </row>
    <row r="135" spans="2:16" ht="15" thickTop="1" x14ac:dyDescent="0.3">
      <c r="B135" s="154"/>
      <c r="C135" s="46" t="s">
        <v>16</v>
      </c>
      <c r="D135" s="47" t="s">
        <v>9</v>
      </c>
      <c r="E135" s="44" t="s">
        <v>17</v>
      </c>
      <c r="F135" s="28"/>
      <c r="G135" s="40" t="s">
        <v>55</v>
      </c>
      <c r="H135" s="28"/>
      <c r="I135" s="40" t="s">
        <v>55</v>
      </c>
      <c r="J135" s="218"/>
      <c r="K135" s="218"/>
      <c r="L135" s="218"/>
      <c r="M135" s="218"/>
      <c r="N135" s="218"/>
      <c r="O135" s="218"/>
      <c r="P135" s="131"/>
    </row>
    <row r="136" spans="2:16" x14ac:dyDescent="0.3">
      <c r="B136" s="154"/>
      <c r="C136" s="46" t="s">
        <v>18</v>
      </c>
      <c r="D136" s="47" t="s">
        <v>10</v>
      </c>
      <c r="E136" s="44" t="s">
        <v>19</v>
      </c>
      <c r="F136" s="28"/>
      <c r="G136" s="40" t="s">
        <v>57</v>
      </c>
      <c r="H136" s="28"/>
      <c r="I136" s="40" t="s">
        <v>58</v>
      </c>
      <c r="J136" s="218"/>
      <c r="K136" s="218"/>
      <c r="L136" s="218"/>
      <c r="M136" s="218"/>
      <c r="N136" s="218"/>
      <c r="O136" s="218"/>
      <c r="P136" s="131"/>
    </row>
    <row r="137" spans="2:16" x14ac:dyDescent="0.3">
      <c r="B137" s="154"/>
      <c r="C137" s="46" t="s">
        <v>20</v>
      </c>
      <c r="D137" s="47" t="s">
        <v>11</v>
      </c>
      <c r="E137" s="44" t="s">
        <v>21</v>
      </c>
      <c r="F137" s="28"/>
      <c r="G137" s="40" t="s">
        <v>58</v>
      </c>
      <c r="H137" s="28"/>
      <c r="I137" s="40" t="s">
        <v>59</v>
      </c>
      <c r="J137" s="218"/>
      <c r="K137" s="218"/>
      <c r="L137" s="218"/>
      <c r="M137" s="218"/>
      <c r="N137" s="218"/>
      <c r="O137" s="218"/>
      <c r="P137" s="131"/>
    </row>
    <row r="138" spans="2:16" x14ac:dyDescent="0.3">
      <c r="B138" s="154"/>
      <c r="C138" s="37" t="s">
        <v>23</v>
      </c>
      <c r="D138" s="47" t="s">
        <v>10</v>
      </c>
      <c r="E138" s="44" t="s">
        <v>19</v>
      </c>
      <c r="F138" s="28"/>
      <c r="G138" s="40" t="s">
        <v>59</v>
      </c>
      <c r="H138" s="28"/>
      <c r="I138" s="41" t="s">
        <v>60</v>
      </c>
      <c r="J138" s="218"/>
      <c r="K138" s="218"/>
      <c r="L138" s="218"/>
      <c r="M138" s="218"/>
      <c r="N138" s="218"/>
      <c r="O138" s="218"/>
      <c r="P138" s="131"/>
    </row>
    <row r="139" spans="2:16" x14ac:dyDescent="0.3">
      <c r="B139" s="154"/>
      <c r="C139" s="37" t="s">
        <v>24</v>
      </c>
      <c r="D139" s="47" t="s">
        <v>10</v>
      </c>
      <c r="E139" s="44" t="s">
        <v>19</v>
      </c>
      <c r="F139" s="28"/>
      <c r="G139" s="41" t="s">
        <v>60</v>
      </c>
      <c r="H139" s="28"/>
      <c r="I139" s="41" t="s">
        <v>61</v>
      </c>
      <c r="J139" s="218"/>
      <c r="K139" s="218"/>
      <c r="L139" s="218"/>
      <c r="M139" s="218"/>
      <c r="N139" s="218"/>
      <c r="O139" s="218"/>
      <c r="P139" s="131"/>
    </row>
    <row r="140" spans="2:16" x14ac:dyDescent="0.3">
      <c r="B140" s="154"/>
      <c r="C140" s="46" t="s">
        <v>26</v>
      </c>
      <c r="D140" s="47" t="s">
        <v>10</v>
      </c>
      <c r="E140" s="40" t="s">
        <v>19</v>
      </c>
      <c r="F140" s="28"/>
      <c r="G140" s="41" t="s">
        <v>61</v>
      </c>
      <c r="H140" s="28"/>
      <c r="I140" s="41" t="s">
        <v>62</v>
      </c>
      <c r="J140" s="218"/>
      <c r="K140" s="218"/>
      <c r="L140" s="218"/>
      <c r="M140" s="218"/>
      <c r="N140" s="218"/>
      <c r="O140" s="218"/>
      <c r="P140" s="131"/>
    </row>
    <row r="141" spans="2:16" x14ac:dyDescent="0.3">
      <c r="B141" s="154"/>
      <c r="C141" s="28"/>
      <c r="D141" s="29"/>
      <c r="E141" s="28"/>
      <c r="F141" s="28"/>
      <c r="G141" s="41" t="s">
        <v>62</v>
      </c>
      <c r="H141" s="28"/>
      <c r="I141" s="41" t="s">
        <v>63</v>
      </c>
      <c r="J141" s="218"/>
      <c r="K141" s="218"/>
      <c r="L141" s="218"/>
      <c r="M141" s="218"/>
      <c r="N141" s="218"/>
      <c r="O141" s="218"/>
      <c r="P141" s="131"/>
    </row>
    <row r="142" spans="2:16" x14ac:dyDescent="0.3">
      <c r="B142" s="154"/>
      <c r="C142" s="28" t="s">
        <v>131</v>
      </c>
      <c r="D142" s="29"/>
      <c r="E142" s="28"/>
      <c r="F142" s="28"/>
      <c r="G142" s="41" t="s">
        <v>63</v>
      </c>
      <c r="H142" s="28"/>
      <c r="I142" s="40" t="s">
        <v>64</v>
      </c>
      <c r="J142" s="218"/>
      <c r="K142" s="218"/>
      <c r="L142" s="218"/>
      <c r="M142" s="218"/>
      <c r="N142" s="218"/>
      <c r="O142" s="218"/>
      <c r="P142" s="131"/>
    </row>
    <row r="143" spans="2:16" ht="15" thickBot="1" x14ac:dyDescent="0.35">
      <c r="B143" s="154"/>
      <c r="C143" s="225" t="s">
        <v>93</v>
      </c>
      <c r="D143" s="39" t="s">
        <v>6</v>
      </c>
      <c r="E143" s="28"/>
      <c r="F143" s="28"/>
      <c r="G143" s="40" t="s">
        <v>64</v>
      </c>
      <c r="H143" s="28"/>
      <c r="I143" s="40" t="s">
        <v>245</v>
      </c>
      <c r="J143" s="218"/>
      <c r="K143" s="218"/>
      <c r="L143" s="218"/>
      <c r="M143" s="218"/>
      <c r="N143" s="218"/>
      <c r="O143" s="218"/>
      <c r="P143" s="131"/>
    </row>
    <row r="144" spans="2:16" ht="15" thickTop="1" x14ac:dyDescent="0.3">
      <c r="B144" s="154"/>
      <c r="C144" s="37" t="s">
        <v>95</v>
      </c>
      <c r="D144" s="38" t="b">
        <v>1</v>
      </c>
      <c r="E144" s="28"/>
      <c r="F144" s="28"/>
      <c r="G144" s="40" t="s">
        <v>245</v>
      </c>
      <c r="H144" s="28"/>
      <c r="I144" s="40" t="s">
        <v>65</v>
      </c>
      <c r="J144" s="218"/>
      <c r="K144" s="218"/>
      <c r="L144" s="218"/>
      <c r="M144" s="218"/>
      <c r="N144" s="218"/>
      <c r="O144" s="218"/>
      <c r="P144" s="131"/>
    </row>
    <row r="145" spans="2:16" x14ac:dyDescent="0.3">
      <c r="B145" s="154"/>
      <c r="C145" s="37" t="s">
        <v>94</v>
      </c>
      <c r="D145" s="38" t="b">
        <v>0</v>
      </c>
      <c r="E145" s="28"/>
      <c r="F145" s="28"/>
      <c r="G145" s="40" t="s">
        <v>65</v>
      </c>
      <c r="H145" s="28"/>
      <c r="I145" s="40" t="s">
        <v>66</v>
      </c>
      <c r="J145" s="218"/>
      <c r="K145" s="218"/>
      <c r="L145" s="218"/>
      <c r="M145" s="218"/>
      <c r="N145" s="218"/>
      <c r="O145" s="218"/>
      <c r="P145" s="131"/>
    </row>
    <row r="146" spans="2:16" x14ac:dyDescent="0.3">
      <c r="B146" s="154"/>
      <c r="C146" s="28"/>
      <c r="D146" s="29"/>
      <c r="E146" s="29"/>
      <c r="F146" s="28"/>
      <c r="G146" s="42" t="s">
        <v>66</v>
      </c>
      <c r="H146" s="28"/>
      <c r="I146" s="4"/>
      <c r="J146" s="4"/>
      <c r="K146" s="4"/>
      <c r="L146" s="4"/>
      <c r="M146" s="4"/>
      <c r="N146" s="4"/>
      <c r="O146" s="4"/>
      <c r="P146" s="131"/>
    </row>
    <row r="147" spans="2:16" ht="15" thickBot="1" x14ac:dyDescent="0.35">
      <c r="B147" s="176"/>
      <c r="C147" s="205"/>
      <c r="D147" s="206"/>
      <c r="E147" s="206"/>
      <c r="F147" s="205"/>
      <c r="G147" s="157"/>
      <c r="H147" s="207"/>
      <c r="I147" s="157"/>
      <c r="J147" s="157"/>
      <c r="K147" s="157"/>
      <c r="L147" s="157"/>
      <c r="M147" s="157"/>
      <c r="N147" s="157"/>
      <c r="O147" s="157"/>
      <c r="P147" s="158"/>
    </row>
    <row r="148" spans="2:16" ht="15" thickTop="1" x14ac:dyDescent="0.3">
      <c r="F148" s="208"/>
      <c r="H148" s="33"/>
    </row>
    <row r="149" spans="2:16" x14ac:dyDescent="0.3">
      <c r="F149" s="208"/>
      <c r="G149" s="208"/>
      <c r="H149" s="208"/>
      <c r="I149" s="38"/>
      <c r="J149" s="38"/>
      <c r="K149" s="33"/>
    </row>
    <row r="150" spans="2:16" x14ac:dyDescent="0.3">
      <c r="F150" s="208"/>
      <c r="G150" s="208"/>
      <c r="H150" s="208"/>
      <c r="I150" s="38"/>
      <c r="J150" s="38"/>
      <c r="K150" s="33"/>
    </row>
    <row r="151" spans="2:16" x14ac:dyDescent="0.3">
      <c r="F151" s="208"/>
      <c r="G151" s="208"/>
      <c r="H151" s="208"/>
      <c r="I151" s="38"/>
      <c r="J151" s="38"/>
      <c r="K151" s="33"/>
    </row>
    <row r="152" spans="2:16" x14ac:dyDescent="0.3">
      <c r="F152" s="208"/>
      <c r="G152" s="208"/>
      <c r="H152" s="208"/>
      <c r="I152" s="38"/>
      <c r="J152" s="38"/>
      <c r="K152" s="33"/>
    </row>
    <row r="153" spans="2:16" x14ac:dyDescent="0.3">
      <c r="F153" s="208"/>
      <c r="G153" s="208"/>
      <c r="H153" s="208"/>
      <c r="I153" s="38"/>
      <c r="J153" s="38"/>
      <c r="K153" s="33"/>
    </row>
    <row r="154" spans="2:16" x14ac:dyDescent="0.3">
      <c r="F154" s="208"/>
      <c r="G154" s="208"/>
      <c r="H154" s="208"/>
      <c r="I154" s="38"/>
      <c r="J154" s="38"/>
      <c r="K154" s="33"/>
    </row>
    <row r="155" spans="2:16" x14ac:dyDescent="0.3">
      <c r="F155" s="208"/>
      <c r="G155" s="208"/>
      <c r="H155" s="208"/>
      <c r="I155" s="38"/>
      <c r="J155" s="38"/>
      <c r="K155" s="33"/>
    </row>
    <row r="156" spans="2:16" x14ac:dyDescent="0.3">
      <c r="F156" s="208"/>
      <c r="G156" s="208"/>
      <c r="H156" s="208"/>
      <c r="I156" s="38"/>
      <c r="J156" s="38"/>
      <c r="K156" s="42"/>
    </row>
    <row r="157" spans="2:16" x14ac:dyDescent="0.3">
      <c r="F157" s="208"/>
      <c r="G157" s="208"/>
      <c r="H157" s="208"/>
      <c r="I157" s="38"/>
      <c r="J157" s="38"/>
      <c r="K157" s="42"/>
    </row>
    <row r="158" spans="2:16" x14ac:dyDescent="0.3">
      <c r="F158" s="208"/>
      <c r="G158" s="208"/>
      <c r="H158" s="208"/>
      <c r="I158" s="38"/>
      <c r="J158" s="38"/>
      <c r="K158" s="42"/>
    </row>
    <row r="159" spans="2:16" x14ac:dyDescent="0.3">
      <c r="F159" s="208"/>
      <c r="G159" s="208"/>
      <c r="H159" s="208"/>
      <c r="I159" s="38"/>
      <c r="J159" s="38"/>
      <c r="K159" s="42"/>
    </row>
    <row r="160" spans="2:16" x14ac:dyDescent="0.3">
      <c r="F160" s="208"/>
      <c r="G160" s="208"/>
      <c r="H160" s="208"/>
      <c r="I160" s="38"/>
      <c r="J160" s="38"/>
      <c r="K160" s="42"/>
    </row>
    <row r="161" spans="6:16" x14ac:dyDescent="0.3">
      <c r="F161" s="208"/>
      <c r="G161" s="208"/>
      <c r="H161" s="208"/>
      <c r="I161" s="38"/>
      <c r="J161" s="38"/>
      <c r="K161" s="42"/>
    </row>
    <row r="162" spans="6:16" x14ac:dyDescent="0.3">
      <c r="F162" s="208"/>
      <c r="G162" s="208"/>
      <c r="H162" s="208"/>
      <c r="I162" s="38"/>
      <c r="J162" s="38"/>
      <c r="K162" s="42"/>
    </row>
    <row r="163" spans="6:16" x14ac:dyDescent="0.3">
      <c r="F163" s="208"/>
      <c r="G163" s="208"/>
      <c r="H163" s="208"/>
      <c r="I163" s="38"/>
      <c r="J163" s="38"/>
      <c r="K163" s="42"/>
    </row>
    <row r="164" spans="6:16" x14ac:dyDescent="0.3">
      <c r="F164" s="208"/>
      <c r="G164" s="208"/>
      <c r="H164" s="208"/>
      <c r="I164" s="38"/>
      <c r="J164" s="38"/>
      <c r="K164" s="33"/>
    </row>
    <row r="165" spans="6:16" x14ac:dyDescent="0.3">
      <c r="F165" s="208"/>
      <c r="G165" s="208"/>
      <c r="H165" s="208"/>
      <c r="I165" s="38"/>
      <c r="J165" s="38"/>
      <c r="K165" s="33"/>
      <c r="L165" s="33"/>
      <c r="M165" s="33"/>
      <c r="N165" s="33"/>
      <c r="O165" s="33"/>
      <c r="P165" s="33"/>
    </row>
    <row r="166" spans="6:16" x14ac:dyDescent="0.3">
      <c r="I166" s="165"/>
    </row>
    <row r="167" spans="6:16" x14ac:dyDescent="0.3">
      <c r="I167" s="165"/>
    </row>
    <row r="168" spans="6:16" x14ac:dyDescent="0.3">
      <c r="I168" s="165"/>
    </row>
    <row r="169" spans="6:16" x14ac:dyDescent="0.3">
      <c r="I169" s="165"/>
    </row>
    <row r="170" spans="6:16" x14ac:dyDescent="0.3">
      <c r="I170" s="165"/>
    </row>
    <row r="171" spans="6:16" x14ac:dyDescent="0.3">
      <c r="I171" s="165"/>
    </row>
    <row r="172" spans="6:16" x14ac:dyDescent="0.3">
      <c r="I172" s="165"/>
    </row>
    <row r="173" spans="6:16" x14ac:dyDescent="0.3">
      <c r="I173" s="165"/>
    </row>
    <row r="174" spans="6:16" x14ac:dyDescent="0.3">
      <c r="I174" s="165"/>
    </row>
    <row r="175" spans="6:16" x14ac:dyDescent="0.3">
      <c r="I175" s="165"/>
    </row>
    <row r="176" spans="6:16" x14ac:dyDescent="0.3">
      <c r="I176" s="165"/>
    </row>
    <row r="177" spans="9:9" x14ac:dyDescent="0.3">
      <c r="I177" s="165"/>
    </row>
    <row r="178" spans="9:9" x14ac:dyDescent="0.3">
      <c r="I178" s="165"/>
    </row>
    <row r="179" spans="9:9" x14ac:dyDescent="0.3">
      <c r="I179" s="165"/>
    </row>
    <row r="180" spans="9:9" x14ac:dyDescent="0.3">
      <c r="I180" s="165"/>
    </row>
    <row r="181" spans="9:9" x14ac:dyDescent="0.3">
      <c r="I181" s="165"/>
    </row>
    <row r="182" spans="9:9" x14ac:dyDescent="0.3">
      <c r="I182" s="165"/>
    </row>
    <row r="183" spans="9:9" x14ac:dyDescent="0.3">
      <c r="I183" s="165"/>
    </row>
    <row r="184" spans="9:9" x14ac:dyDescent="0.3">
      <c r="I184" s="165"/>
    </row>
    <row r="185" spans="9:9" x14ac:dyDescent="0.3">
      <c r="I185" s="165"/>
    </row>
    <row r="186" spans="9:9" x14ac:dyDescent="0.3">
      <c r="I186" s="165"/>
    </row>
    <row r="187" spans="9:9" x14ac:dyDescent="0.3">
      <c r="I187" s="165"/>
    </row>
    <row r="188" spans="9:9" x14ac:dyDescent="0.3">
      <c r="I188" s="165"/>
    </row>
    <row r="189" spans="9:9" x14ac:dyDescent="0.3">
      <c r="I189" s="165"/>
    </row>
    <row r="190" spans="9:9" x14ac:dyDescent="0.3">
      <c r="I190" s="165"/>
    </row>
    <row r="191" spans="9:9" x14ac:dyDescent="0.3">
      <c r="I191" s="165"/>
    </row>
    <row r="192" spans="9:9" x14ac:dyDescent="0.3">
      <c r="I192" s="165"/>
    </row>
    <row r="193" spans="9:9" x14ac:dyDescent="0.3">
      <c r="I193" s="165"/>
    </row>
    <row r="194" spans="9:9" x14ac:dyDescent="0.3">
      <c r="I194" s="165"/>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10</Value>
      <Value>9</Value>
      <Value>8</Value>
      <Value>7</Value>
      <Value>6</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2022-11-30T12:28:38Z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ies>
</file>