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8"/>
  <workbookPr updateLinks="never" defaultThemeVersion="166925"/>
  <mc:AlternateContent xmlns:mc="http://schemas.openxmlformats.org/markup-compatibility/2006">
    <mc:Choice Requires="x15">
      <x15ac:absPath xmlns:x15ac="http://schemas.microsoft.com/office/spreadsheetml/2010/11/ac" url="https://eastleighgovuk-my.sharepoint.com/personal/david_huckfield_eastleigh_gov_uk/Documents/Desktop/"/>
    </mc:Choice>
  </mc:AlternateContent>
  <xr:revisionPtr revIDLastSave="0" documentId="8_{5985A96A-3F85-4534-A913-75C0D38DCFB6}" xr6:coauthVersionLast="47" xr6:coauthVersionMax="47" xr10:uidLastSave="{00000000-0000-0000-0000-000000000000}"/>
  <workbookProtection workbookAlgorithmName="SHA-512" workbookHashValue="bETFfGZMjZ0I4SK7lo/IHFJsa5ctLN8GW8IP6VGIGdHS1TFbjj00QMU4/qEgf/e6RoQzrudGbOwLCtOIG1h68Q==" workbookSaltValue="EbvIH0GxZ3iNKdis56vmGw==" workbookSpinCount="100000" lockStructure="1"/>
  <bookViews>
    <workbookView xWindow="16284" yWindow="-5412" windowWidth="30936" windowHeight="16896" firstSheet="6" activeTab="6"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6" i="8" l="1"/>
  <c r="G17" i="8"/>
  <c r="G18" i="8"/>
  <c r="G19" i="8"/>
  <c r="G20" i="8"/>
  <c r="G21" i="8"/>
  <c r="G22" i="8"/>
  <c r="G23" i="8"/>
  <c r="G24" i="8"/>
  <c r="G25" i="8"/>
  <c r="G26" i="8"/>
  <c r="G27" i="8"/>
  <c r="G28" i="8"/>
  <c r="G29" i="8"/>
  <c r="G30" i="8"/>
  <c r="G31" i="8"/>
  <c r="G15" i="8"/>
  <c r="G8" i="3" l="1"/>
  <c r="D16" i="7"/>
  <c r="G9" i="3"/>
  <c r="G10" i="3"/>
  <c r="G12" i="3"/>
  <c r="G13" i="3"/>
  <c r="E9" i="3"/>
  <c r="E10" i="3"/>
  <c r="E12" i="3"/>
  <c r="E13" i="3"/>
  <c r="E8" i="3"/>
  <c r="M22" i="3" l="1"/>
  <c r="L22" i="3"/>
  <c r="I94" i="3"/>
  <c r="E17" i="9" s="1"/>
  <c r="D15"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3" i="7"/>
  <c r="I23" i="7"/>
  <c r="I24" i="7"/>
  <c r="G24"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H39" i="3"/>
  <c r="H40" i="3"/>
  <c r="H41" i="3"/>
  <c r="H42" i="3"/>
  <c r="F30" i="8" l="1"/>
  <c r="J98" i="3"/>
  <c r="H38" i="3"/>
  <c r="F27" i="8" l="1"/>
  <c r="F14" i="9"/>
  <c r="C21" i="10"/>
  <c r="F21" i="10"/>
  <c r="G21" i="7"/>
  <c r="C21" i="7"/>
  <c r="G10" i="7"/>
  <c r="F16" i="7"/>
  <c r="H16" i="7"/>
  <c r="H15" i="7"/>
  <c r="F15" i="7"/>
  <c r="G15" i="7"/>
  <c r="G16" i="7"/>
  <c r="D23" i="7"/>
  <c r="D24" i="7" s="1"/>
  <c r="H24" i="7" l="1"/>
  <c r="H23" i="7"/>
  <c r="D27" i="7"/>
  <c r="H20" i="3"/>
  <c r="H21" i="3"/>
  <c r="H22" i="3"/>
  <c r="H23" i="3"/>
  <c r="H24" i="3"/>
  <c r="H25" i="3"/>
  <c r="H26" i="3"/>
  <c r="H27" i="3"/>
  <c r="H28" i="3"/>
  <c r="H29" i="3"/>
  <c r="H30" i="3"/>
  <c r="H31" i="3"/>
  <c r="H32" i="3"/>
  <c r="H33" i="3"/>
  <c r="H34" i="3"/>
  <c r="H35" i="3"/>
  <c r="H36" i="3"/>
  <c r="H37" i="3"/>
  <c r="H19" i="3"/>
  <c r="J100" i="3"/>
  <c r="J99" i="3"/>
  <c r="F15" i="8" s="1"/>
  <c r="I99" i="3"/>
  <c r="E15" i="8" s="1"/>
  <c r="I100" i="3"/>
  <c r="I98" i="3"/>
  <c r="D33" i="7"/>
  <c r="H100" i="3"/>
  <c r="H99" i="3"/>
  <c r="H98" i="3"/>
  <c r="H97" i="3"/>
  <c r="H96" i="3"/>
  <c r="H95" i="3"/>
  <c r="H94" i="3"/>
  <c r="H93" i="3"/>
  <c r="F28" i="8" l="1"/>
  <c r="F15" i="9"/>
  <c r="E29" i="8"/>
  <c r="E16" i="9"/>
  <c r="E28" i="8"/>
  <c r="E15" i="9"/>
  <c r="E27" i="8"/>
  <c r="E14" i="9"/>
  <c r="F29" i="8"/>
  <c r="F16" i="9"/>
  <c r="D34" i="7"/>
  <c r="D28" i="7"/>
  <c r="F32" i="8" l="1"/>
  <c r="F27" i="9"/>
  <c r="G28" i="10" s="1"/>
  <c r="E27" i="9"/>
  <c r="E32" i="8"/>
  <c r="D35" i="7"/>
  <c r="D36" i="7" s="1"/>
  <c r="D29" i="7"/>
  <c r="D30"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<sst xmlns="http://schemas.openxmlformats.org/spreadsheetml/2006/main" count="656" uniqueCount="258">
  <si>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</si>
  <si>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</si>
  <si>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</si>
  <si>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</si>
  <si>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</si>
  <si>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</si>
  <si>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</si>
  <si>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River Itchen Special Area of Conservation (SAC)</t>
  </si>
  <si>
    <t>The River Itchen SAC is a Habitats site with water pollution and eutrophication considered as a threat to its condition.</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</si>
  <si>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</si>
  <si>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</si>
  <si>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</si>
  <si>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</si>
  <si>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</si>
  <si>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</si>
  <si>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</si>
  <si>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</si>
  <si>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</si>
  <si>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</si>
  <si>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</si>
  <si>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</si>
  <si>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</si>
  <si>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</si>
  <si>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</si>
  <si>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</si>
  <si>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</si>
  <si>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</si>
  <si>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</si>
  <si>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</si>
  <si>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</si>
  <si>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</si>
  <si>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</si>
  <si>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</si>
  <si>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</si>
  <si>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</si>
  <si>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</si>
  <si>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</si>
  <si>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</si>
  <si>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</si>
  <si>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</si>
  <si>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</si>
  <si>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</si>
  <si>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</si>
  <si>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</si>
  <si>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</si>
  <si>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</si>
  <si>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</si>
  <si>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</si>
  <si>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</si>
  <si>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</si>
  <si>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</si>
  <si>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</si>
  <si>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</si>
  <si>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</si>
  <si>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</si>
  <si>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</si>
  <si>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</si>
  <si>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</si>
  <si>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</si>
  <si>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</si>
  <si>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 xml:space="preserve"> https://nrfa.ceh.ac.uk/data/station/spatial/42023</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</si>
  <si>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</si>
  <si>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</si>
  <si>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</si>
  <si>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</si>
  <si>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</si>
  <si>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</si>
  <si>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</si>
  <si>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</si>
  <si>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</si>
  <si>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</si>
  <si>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</si>
  <si>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</si>
  <si>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</si>
  <si>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Maple Place</t>
  </si>
  <si>
    <t>Planning Application number:</t>
  </si>
  <si>
    <t>Not Yet Assigned</t>
  </si>
  <si>
    <t>Site Address:</t>
  </si>
  <si>
    <t>237 Chamberlayne Road and 5b Derby Road, Eastleigh, SO50 5HX</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</si>
  <si>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</si>
  <si>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</si>
  <si>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</si>
  <si>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</si>
  <si>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</si>
  <si>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</si>
  <si>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 xml:space="preserve">Include deductible acceptable loading? </t>
  </si>
  <si>
    <t>Yes</t>
  </si>
  <si>
    <t>Wastewater treatment works:</t>
  </si>
  <si>
    <t>Chickenhall Eastleigh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</si>
  <si>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</si>
  <si>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</si>
  <si>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</si>
  <si>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</si>
  <si>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</si>
  <si>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</si>
  <si>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</si>
  <si>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</si>
  <si>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</si>
  <si>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</si>
  <si>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</si>
  <si>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</si>
  <si>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</si>
  <si>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</si>
  <si>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</si>
  <si>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</si>
  <si>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</si>
  <si>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</si>
  <si>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</si>
  <si>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</si>
  <si>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</si>
  <si>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</si>
  <si>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</si>
  <si>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</si>
  <si>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Itchen</t>
  </si>
  <si>
    <t>Soil drainage type:</t>
  </si>
  <si>
    <t>Freely draining</t>
  </si>
  <si>
    <r>
      <t xml:space="preserve">Annual average rainfall </t>
    </r>
    <r>
      <rPr>
        <sz val="11"/>
        <rFont val="Arial"/>
        <family val="2"/>
      </rPr>
      <t>(mm)</t>
    </r>
    <r>
      <rPr>
        <b/>
        <sz val="11"/>
        <rFont val="Arial"/>
        <family val="2"/>
      </rPr>
      <t>:</t>
    </r>
  </si>
  <si>
    <t>800.1 - 850</t>
  </si>
  <si>
    <t>Within Nitrate Vulnerable Zone (NVZ):</t>
  </si>
  <si>
    <t>Existing land use type(s)</t>
  </si>
  <si>
    <r>
      <t xml:space="preserve">Area </t>
    </r>
    <r>
      <rPr>
        <sz val="11"/>
        <color theme="1"/>
        <rFont val="Arial"/>
        <family val="2"/>
      </rPr>
      <t>(ha)</t>
    </r>
  </si>
  <si>
    <r>
      <t xml:space="preserve">Annual phosphorus nutrient export 
</t>
    </r>
    <r>
      <rPr>
        <sz val="11"/>
        <color theme="1"/>
        <rFont val="Arial"/>
        <family val="2"/>
      </rPr>
      <t>(kg TP)</t>
    </r>
  </si>
  <si>
    <r>
      <t xml:space="preserve">Annual nitrogen nutrient export 
</t>
    </r>
    <r>
      <rPr>
        <sz val="11"/>
        <color theme="1"/>
        <rFont val="Arial"/>
        <family val="2"/>
      </rPr>
      <t>(kg TN)</t>
    </r>
  </si>
  <si>
    <t>Commercial/industrial urban land</t>
  </si>
  <si>
    <t>Total:</t>
  </si>
  <si>
    <t>Stage 3</t>
  </si>
  <si>
    <t>New land use type(s)</t>
  </si>
  <si>
    <r>
      <t xml:space="preserve">Annual nitrogen nutrient export
</t>
    </r>
    <r>
      <rPr>
        <sz val="11"/>
        <color theme="1"/>
        <rFont val="Arial"/>
        <family val="2"/>
      </rPr>
      <t>(kg TN)</t>
    </r>
  </si>
  <si>
    <t>Residential urban land</t>
  </si>
  <si>
    <t>Stage 4</t>
  </si>
  <si>
    <t>Calculated Outputs</t>
  </si>
  <si>
    <t>P loading to WwTW:</t>
  </si>
  <si>
    <t>Net land use P change:</t>
  </si>
  <si>
    <t>P budget:</t>
  </si>
  <si>
    <t>P budget + 20% buffer:</t>
  </si>
  <si>
    <t>N loading to WwTW:</t>
  </si>
  <si>
    <t>Net land use N change:</t>
  </si>
  <si>
    <t>N budget:</t>
  </si>
  <si>
    <t>N budget + 20% buffer:</t>
  </si>
  <si>
    <t>The total annual phosphorus load to mitigate is:</t>
  </si>
  <si>
    <t>The total annual nitrogen load to mitigate is:</t>
  </si>
  <si>
    <t>Your final phosphorus budget is:</t>
  </si>
  <si>
    <t>have pop up message if negative that says soemthing like "No P to mitigate</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</si>
  <si>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</si>
  <si>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</si>
  <si>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</si>
  <si>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</si>
  <si>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</si>
  <si>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</si>
  <si>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</si>
  <si>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</si>
  <si>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</si>
  <si>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</si>
  <si>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</si>
  <si>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</si>
  <si>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</si>
  <si>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</si>
  <si>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</si>
  <si>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</si>
  <si>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</si>
  <si>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</si>
  <si>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</si>
  <si>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</si>
  <si>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</si>
  <si>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</si>
  <si>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</si>
  <si>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</si>
  <si>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</si>
  <si>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</si>
  <si>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</si>
  <si>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</si>
  <si>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</si>
  <si>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</si>
  <si>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</si>
  <si>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</si>
  <si>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</si>
  <si>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</si>
  <si>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</si>
  <si>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</si>
  <si>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</si>
  <si>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</si>
  <si>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</si>
  <si>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</si>
  <si>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</si>
  <si>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</si>
  <si>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</si>
  <si>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</si>
  <si>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</si>
  <si>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</si>
  <si>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</si>
  <si>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</si>
  <si>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</si>
  <si>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</si>
  <si>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</si>
  <si>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</si>
  <si>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</si>
  <si>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</si>
  <si>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</si>
  <si>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</si>
  <si>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</si>
  <si>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</si>
  <si>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</si>
  <si>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</si>
  <si>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</si>
  <si>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</si>
  <si>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</si>
  <si>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</si>
  <si>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</si>
  <si>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</si>
  <si>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</si>
  <si>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</si>
  <si>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</si>
  <si>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</si>
  <si>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</si>
  <si>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</si>
  <si>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</si>
  <si>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</si>
  <si>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</si>
  <si>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</si>
  <si>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</si>
  <si>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</si>
  <si>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</si>
  <si>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</si>
  <si>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</si>
  <si>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</si>
  <si>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</si>
  <si>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</si>
  <si>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</si>
  <si>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</si>
  <si>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</si>
  <si>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</si>
  <si>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</si>
  <si>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</si>
  <si>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</si>
  <si>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</si>
  <si>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</si>
  <si>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</si>
  <si>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</si>
  <si>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</si>
  <si>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</si>
  <si>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</si>
  <si>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</si>
  <si>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Itchen Specific Landcover Types</t>
  </si>
  <si>
    <t>Table 5: Stage 2 and 3 Soil Drainage Lookup</t>
  </si>
  <si>
    <t>Soilscape drainage term</t>
  </si>
  <si>
    <t>Farmscoper term</t>
  </si>
  <si>
    <t>Definition</t>
  </si>
  <si>
    <t>Free Draining</t>
  </si>
  <si>
    <t>Slightly impeded drainage</t>
  </si>
  <si>
    <t>Drained for arable</t>
  </si>
  <si>
    <t>LFA</t>
  </si>
  <si>
    <t>Impeded drainage</t>
  </si>
  <si>
    <t>Drained for arable and grassland</t>
  </si>
  <si>
    <t>Variable</t>
  </si>
  <si>
    <t>Surface Wetness</t>
  </si>
  <si>
    <t>Naturally wet</t>
  </si>
  <si>
    <t>Table 6: Stage 2 and 3 NVZ Lookup</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</si>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</sst>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sz val="11"/>
      <color theme="0"/>
      <name val="Arial"/>
      <family val="2"/>
    </font>
  </fonts>
  <fills count="8">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
      <patternFill patternType="solid">
        <fgColor rgb="FFEDEDED"/>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2" fillId="5" borderId="8" xfId="0" applyFont="1" applyFill="1" applyBorder="1" applyAlignment="1">
      <alignment horizontal="left" vertical="center"/>
    </xf>
    <xf numFmtId="0" fontId="12" fillId="7" borderId="10" xfId="0" applyFont="1" applyFill="1" applyBorder="1" applyAlignment="1">
      <alignment horizontal="left" vertical="center"/>
    </xf>
    <xf numFmtId="0" fontId="0" fillId="7" borderId="0" xfId="0" applyFill="1" applyAlignment="1">
      <alignment horizontal="left" vertical="center"/>
    </xf>
    <xf numFmtId="0" fontId="12" fillId="5" borderId="21" xfId="0" applyFont="1" applyFill="1" applyBorder="1" applyAlignment="1">
      <alignment horizontal="left" vertical="center"/>
    </xf>
    <xf numFmtId="0" fontId="12" fillId="7" borderId="5" xfId="0" applyFont="1" applyFill="1" applyBorder="1" applyAlignment="1">
      <alignment horizontal="left" vertical="center"/>
    </xf>
    <xf numFmtId="0" fontId="0" fillId="7" borderId="5" xfId="0" applyFill="1" applyBorder="1" applyAlignment="1">
      <alignment horizontal="left" vertical="center"/>
    </xf>
    <xf numFmtId="0" fontId="8"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7" borderId="10" xfId="0" applyFill="1" applyBorder="1" applyAlignment="1">
      <alignment horizontal="left" vertical="center"/>
    </xf>
    <xf numFmtId="0" fontId="36" fillId="6" borderId="2" xfId="0" applyFont="1" applyFill="1" applyBorder="1" applyAlignment="1">
      <alignment horizontal="left" vertical="center" indent="3"/>
    </xf>
    <xf numFmtId="2" fontId="40" fillId="2" borderId="0" xfId="0" applyNumberFormat="1" applyFont="1" applyFill="1" applyAlignment="1">
      <alignment horizontal="left" vertical="center" indent="3"/>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Alignment="1" applyProtection="1">
      <protection locked="0"/>
    </xf>
    <xf numFmtId="0" fontId="32" fillId="0" borderId="0" xfId="1" applyFont="1" applyAlignme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1">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EDEDED"/>
      <color rgb="FFF7E8BE"/>
      <color rgb="FF9DD3BE"/>
      <color rgb="FFAAC7EE"/>
      <color rgb="FFF3EEDD"/>
      <color rgb="FF9DDBBE"/>
      <color rgb="FFC5C5C5"/>
      <color rgb="FFC5C1C7"/>
      <color rgb="FFE0C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67</xdr:row>
      <xdr:rowOff>99703</xdr:rowOff>
    </xdr:from>
    <xdr:to>
      <xdr:col>12</xdr:col>
      <xdr:colOff>495301</xdr:colOff>
      <xdr:row>71</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7109375" defaultRowHeight="28.5" customHeight="1"/>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c r="Y5"/>
    </row>
    <row r="11" spans="13:25" ht="18" customHeight="1"/>
    <row r="12" spans="13:25" ht="45.75">
      <c r="M12" s="105" t="s">
        <v>0</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zoomScaleNormal="100" workbookViewId="0">
      <selection activeCell="B36" sqref="B36:M36"/>
    </sheetView>
  </sheetViews>
  <sheetFormatPr defaultColWidth="9.140625" defaultRowHeight="15"/>
  <cols>
    <col min="1" max="13" width="9.140625" style="152"/>
    <col min="14" max="14" width="1.7109375" style="152" customWidth="1"/>
    <col min="15" max="16384" width="9.140625" style="152"/>
  </cols>
  <sheetData>
    <row r="2" spans="2:14" ht="15.75" thickBot="1"/>
    <row r="3" spans="2:14" ht="15.75" customHeight="1" thickTop="1">
      <c r="B3" s="235" t="s">
        <v>1</v>
      </c>
      <c r="C3" s="236"/>
      <c r="D3" s="236"/>
      <c r="E3" s="236"/>
      <c r="F3" s="236"/>
      <c r="G3" s="236"/>
      <c r="H3" s="236"/>
      <c r="I3" s="236"/>
      <c r="J3" s="236"/>
      <c r="K3" s="236"/>
      <c r="L3" s="236"/>
      <c r="M3" s="236"/>
      <c r="N3" s="237"/>
    </row>
    <row r="4" spans="2:14" ht="15" customHeight="1">
      <c r="B4" s="238"/>
      <c r="C4" s="239"/>
      <c r="D4" s="239"/>
      <c r="E4" s="239"/>
      <c r="F4" s="239"/>
      <c r="G4" s="239"/>
      <c r="H4" s="239"/>
      <c r="I4" s="239"/>
      <c r="J4" s="239"/>
      <c r="K4" s="239"/>
      <c r="L4" s="239"/>
      <c r="M4" s="239"/>
      <c r="N4" s="240"/>
    </row>
    <row r="5" spans="2:14" ht="15" customHeight="1">
      <c r="B5" s="238"/>
      <c r="C5" s="239"/>
      <c r="D5" s="239"/>
      <c r="E5" s="239"/>
      <c r="F5" s="239"/>
      <c r="G5" s="239"/>
      <c r="H5" s="239"/>
      <c r="I5" s="239"/>
      <c r="J5" s="239"/>
      <c r="K5" s="239"/>
      <c r="L5" s="239"/>
      <c r="M5" s="239"/>
      <c r="N5" s="240"/>
    </row>
    <row r="6" spans="2:14" ht="8.25" customHeight="1">
      <c r="B6" s="146"/>
      <c r="C6" s="1"/>
      <c r="D6" s="1"/>
      <c r="E6" s="1"/>
      <c r="F6" s="1"/>
      <c r="G6" s="1"/>
      <c r="H6" s="1"/>
      <c r="I6" s="1"/>
      <c r="J6" s="1"/>
      <c r="K6" s="1"/>
      <c r="L6" s="1"/>
      <c r="M6" s="1"/>
      <c r="N6" s="124"/>
    </row>
    <row r="7" spans="2:14" ht="56.25" customHeight="1">
      <c r="B7" s="241" t="s">
        <v>2</v>
      </c>
      <c r="C7" s="242"/>
      <c r="D7" s="242"/>
      <c r="E7" s="242"/>
      <c r="F7" s="242"/>
      <c r="G7" s="242"/>
      <c r="H7" s="242"/>
      <c r="I7" s="242"/>
      <c r="J7" s="242"/>
      <c r="K7" s="242"/>
      <c r="L7" s="242"/>
      <c r="M7" s="242"/>
      <c r="N7" s="124"/>
    </row>
    <row r="8" spans="2:14" ht="59.25" customHeight="1">
      <c r="B8" s="243" t="s">
        <v>3</v>
      </c>
      <c r="C8" s="244"/>
      <c r="D8" s="244"/>
      <c r="E8" s="244"/>
      <c r="F8" s="244"/>
      <c r="G8" s="244"/>
      <c r="H8" s="244"/>
      <c r="I8" s="244"/>
      <c r="J8" s="244"/>
      <c r="K8" s="244"/>
      <c r="L8" s="244"/>
      <c r="M8" s="244"/>
      <c r="N8" s="124"/>
    </row>
    <row r="9" spans="2:14">
      <c r="B9" s="147"/>
      <c r="C9" s="22"/>
      <c r="D9" s="22"/>
      <c r="E9" s="22"/>
      <c r="F9" s="22"/>
      <c r="G9" s="22"/>
      <c r="H9" s="22"/>
      <c r="I9" s="22"/>
      <c r="J9" s="22"/>
      <c r="K9" s="22"/>
      <c r="L9" s="22"/>
      <c r="M9" s="22"/>
      <c r="N9" s="124"/>
    </row>
    <row r="10" spans="2:14">
      <c r="B10" s="147"/>
      <c r="C10" s="22"/>
      <c r="D10" s="22"/>
      <c r="E10" s="22"/>
      <c r="F10" s="22"/>
      <c r="G10" s="22"/>
      <c r="H10" s="22"/>
      <c r="I10" s="22"/>
      <c r="J10" s="22"/>
      <c r="K10" s="22"/>
      <c r="L10" s="22"/>
      <c r="M10" s="22"/>
      <c r="N10" s="124"/>
    </row>
    <row r="11" spans="2:14">
      <c r="B11" s="147"/>
      <c r="C11" s="22"/>
      <c r="D11" s="22"/>
      <c r="E11" s="22"/>
      <c r="F11" s="22"/>
      <c r="G11" s="22"/>
      <c r="H11" s="22"/>
      <c r="I11" s="22"/>
      <c r="J11" s="22"/>
      <c r="K11" s="22"/>
      <c r="L11" s="22"/>
      <c r="M11" s="22"/>
      <c r="N11" s="124"/>
    </row>
    <row r="12" spans="2:14">
      <c r="B12" s="147"/>
      <c r="C12" s="22"/>
      <c r="D12" s="22"/>
      <c r="E12" s="22"/>
      <c r="F12" s="22"/>
      <c r="G12" s="22"/>
      <c r="H12" s="22"/>
      <c r="I12" s="22"/>
      <c r="J12" s="22"/>
      <c r="K12" s="22"/>
      <c r="L12" s="22"/>
      <c r="M12" s="22"/>
      <c r="N12" s="124"/>
    </row>
    <row r="13" spans="2:14">
      <c r="B13" s="147"/>
      <c r="C13" s="22"/>
      <c r="D13" s="22"/>
      <c r="E13" s="22"/>
      <c r="F13" s="22"/>
      <c r="G13" s="22"/>
      <c r="H13" s="22"/>
      <c r="I13" s="22"/>
      <c r="J13" s="22"/>
      <c r="K13" s="22"/>
      <c r="L13" s="22"/>
      <c r="M13" s="22"/>
      <c r="N13" s="124"/>
    </row>
    <row r="14" spans="2:14">
      <c r="B14" s="147"/>
      <c r="C14" s="22"/>
      <c r="D14" s="22"/>
      <c r="E14" s="22"/>
      <c r="F14" s="22"/>
      <c r="G14" s="22"/>
      <c r="H14" s="22"/>
      <c r="I14" s="22"/>
      <c r="J14" s="22"/>
      <c r="K14" s="22"/>
      <c r="L14" s="22"/>
      <c r="M14" s="22"/>
      <c r="N14" s="124"/>
    </row>
    <row r="15" spans="2:14">
      <c r="B15" s="147"/>
      <c r="C15" s="22"/>
      <c r="D15" s="22"/>
      <c r="E15" s="22"/>
      <c r="F15" s="22"/>
      <c r="G15" s="22"/>
      <c r="H15" s="22"/>
      <c r="I15" s="22"/>
      <c r="J15" s="22"/>
      <c r="K15" s="22"/>
      <c r="L15" s="22"/>
      <c r="M15" s="22"/>
      <c r="N15" s="124"/>
    </row>
    <row r="16" spans="2:14">
      <c r="B16" s="147"/>
      <c r="C16" s="22"/>
      <c r="D16" s="22"/>
      <c r="E16" s="22"/>
      <c r="F16" s="22"/>
      <c r="G16" s="22"/>
      <c r="H16" s="22"/>
      <c r="I16" s="22"/>
      <c r="J16" s="22"/>
      <c r="K16" s="22"/>
      <c r="L16" s="22"/>
      <c r="M16" s="22"/>
      <c r="N16" s="124"/>
    </row>
    <row r="17" spans="2:14">
      <c r="B17" s="147"/>
      <c r="C17" s="22"/>
      <c r="D17" s="22"/>
      <c r="E17" s="22"/>
      <c r="F17" s="22"/>
      <c r="G17" s="22"/>
      <c r="H17" s="22"/>
      <c r="I17" s="22"/>
      <c r="J17" s="22"/>
      <c r="K17" s="22"/>
      <c r="L17" s="22"/>
      <c r="M17" s="22"/>
      <c r="N17" s="124"/>
    </row>
    <row r="18" spans="2:14">
      <c r="B18" s="147"/>
      <c r="C18" s="22"/>
      <c r="D18" s="22"/>
      <c r="E18" s="22"/>
      <c r="F18" s="22"/>
      <c r="G18" s="22"/>
      <c r="H18" s="22"/>
      <c r="I18" s="22"/>
      <c r="J18" s="22"/>
      <c r="K18" s="22"/>
      <c r="L18" s="22"/>
      <c r="M18" s="22"/>
      <c r="N18" s="124"/>
    </row>
    <row r="19" spans="2:14">
      <c r="B19" s="147"/>
      <c r="C19" s="22"/>
      <c r="D19" s="22"/>
      <c r="E19" s="22"/>
      <c r="F19" s="22"/>
      <c r="G19" s="22"/>
      <c r="H19" s="22"/>
      <c r="I19" s="22"/>
      <c r="J19" s="22"/>
      <c r="K19" s="22"/>
      <c r="L19" s="22"/>
      <c r="M19" s="22"/>
      <c r="N19" s="124"/>
    </row>
    <row r="20" spans="2:14">
      <c r="B20" s="147"/>
      <c r="C20" s="22"/>
      <c r="D20" s="22"/>
      <c r="E20" s="22"/>
      <c r="F20" s="22"/>
      <c r="G20" s="22"/>
      <c r="H20" s="22"/>
      <c r="I20" s="22"/>
      <c r="J20" s="22"/>
      <c r="K20" s="22"/>
      <c r="L20" s="22"/>
      <c r="M20" s="22"/>
      <c r="N20" s="124"/>
    </row>
    <row r="21" spans="2:14">
      <c r="B21" s="147"/>
      <c r="C21" s="22"/>
      <c r="D21" s="22"/>
      <c r="E21" s="22"/>
      <c r="F21" s="22"/>
      <c r="G21" s="22"/>
      <c r="H21" s="22"/>
      <c r="I21" s="22"/>
      <c r="J21" s="22"/>
      <c r="K21" s="22"/>
      <c r="L21" s="22"/>
      <c r="M21" s="22"/>
      <c r="N21" s="124"/>
    </row>
    <row r="22" spans="2:14">
      <c r="B22" s="147"/>
      <c r="C22" s="22"/>
      <c r="D22" s="22"/>
      <c r="E22" s="22"/>
      <c r="F22" s="22"/>
      <c r="G22" s="22"/>
      <c r="H22" s="22"/>
      <c r="I22" s="22"/>
      <c r="J22" s="22"/>
      <c r="K22" s="22"/>
      <c r="L22" s="22"/>
      <c r="M22" s="22"/>
      <c r="N22" s="124"/>
    </row>
    <row r="23" spans="2:14">
      <c r="B23" s="147"/>
      <c r="C23" s="22"/>
      <c r="D23" s="22"/>
      <c r="E23" s="22"/>
      <c r="F23" s="22"/>
      <c r="G23" s="22"/>
      <c r="H23" s="22"/>
      <c r="I23" s="22"/>
      <c r="J23" s="22"/>
      <c r="K23" s="22"/>
      <c r="L23" s="22"/>
      <c r="M23" s="22"/>
      <c r="N23" s="124"/>
    </row>
    <row r="24" spans="2:14">
      <c r="B24" s="147"/>
      <c r="C24" s="22"/>
      <c r="D24" s="22"/>
      <c r="E24" s="22"/>
      <c r="F24" s="22"/>
      <c r="G24" s="22"/>
      <c r="H24" s="22"/>
      <c r="I24" s="22"/>
      <c r="J24" s="22"/>
      <c r="K24" s="22"/>
      <c r="L24" s="22"/>
      <c r="M24" s="22"/>
      <c r="N24" s="124"/>
    </row>
    <row r="25" spans="2:14">
      <c r="B25" s="147"/>
      <c r="C25" s="22"/>
      <c r="D25" s="22"/>
      <c r="E25" s="22"/>
      <c r="F25" s="22"/>
      <c r="G25" s="22"/>
      <c r="H25" s="22"/>
      <c r="I25" s="22"/>
      <c r="J25" s="22"/>
      <c r="K25" s="22"/>
      <c r="L25" s="22"/>
      <c r="M25" s="22"/>
      <c r="N25" s="124"/>
    </row>
    <row r="26" spans="2:14">
      <c r="B26" s="147"/>
      <c r="C26" s="22"/>
      <c r="D26" s="22"/>
      <c r="E26" s="22"/>
      <c r="F26" s="22"/>
      <c r="G26" s="22"/>
      <c r="H26" s="22"/>
      <c r="I26" s="22"/>
      <c r="J26" s="22"/>
      <c r="K26" s="22"/>
      <c r="L26" s="22"/>
      <c r="M26" s="22"/>
      <c r="N26" s="124"/>
    </row>
    <row r="27" spans="2:14">
      <c r="B27" s="147"/>
      <c r="C27" s="22"/>
      <c r="D27" s="22"/>
      <c r="E27" s="22"/>
      <c r="F27" s="22"/>
      <c r="G27" s="22"/>
      <c r="H27" s="22"/>
      <c r="I27" s="22"/>
      <c r="J27" s="22"/>
      <c r="K27" s="22"/>
      <c r="L27" s="22"/>
      <c r="M27" s="22"/>
      <c r="N27" s="124"/>
    </row>
    <row r="28" spans="2:14">
      <c r="B28" s="147"/>
      <c r="C28" s="22"/>
      <c r="D28" s="22"/>
      <c r="E28" s="22"/>
      <c r="F28" s="22"/>
      <c r="G28" s="22"/>
      <c r="H28" s="22"/>
      <c r="I28" s="22"/>
      <c r="J28" s="22"/>
      <c r="K28" s="22"/>
      <c r="L28" s="22"/>
      <c r="M28" s="22"/>
      <c r="N28" s="124"/>
    </row>
    <row r="29" spans="2:14">
      <c r="B29" s="147"/>
      <c r="C29" s="22"/>
      <c r="D29" s="22"/>
      <c r="E29" s="22"/>
      <c r="F29" s="22"/>
      <c r="G29" s="22"/>
      <c r="H29" s="22"/>
      <c r="I29" s="22"/>
      <c r="J29" s="22"/>
      <c r="K29" s="22"/>
      <c r="L29" s="22"/>
      <c r="M29" s="22"/>
      <c r="N29" s="124"/>
    </row>
    <row r="30" spans="2:14">
      <c r="B30" s="147"/>
      <c r="C30" s="22"/>
      <c r="D30" s="22"/>
      <c r="E30" s="22"/>
      <c r="F30" s="22"/>
      <c r="G30" s="22"/>
      <c r="H30" s="22"/>
      <c r="I30" s="22"/>
      <c r="J30" s="22"/>
      <c r="K30" s="22"/>
      <c r="L30" s="22"/>
      <c r="M30" s="22"/>
      <c r="N30" s="124"/>
    </row>
    <row r="31" spans="2:14">
      <c r="B31" s="147"/>
      <c r="C31" s="22"/>
      <c r="D31" s="22"/>
      <c r="E31" s="22"/>
      <c r="F31" s="22"/>
      <c r="G31" s="22"/>
      <c r="H31" s="22"/>
      <c r="I31" s="22"/>
      <c r="J31" s="22"/>
      <c r="K31" s="22"/>
      <c r="L31" s="22"/>
      <c r="M31" s="22"/>
      <c r="N31" s="124"/>
    </row>
    <row r="32" spans="2:14">
      <c r="B32" s="147"/>
      <c r="C32" s="22"/>
      <c r="D32" s="22"/>
      <c r="E32" s="22"/>
      <c r="F32" s="22"/>
      <c r="G32" s="22"/>
      <c r="H32" s="22"/>
      <c r="I32" s="22"/>
      <c r="J32" s="22"/>
      <c r="K32" s="22"/>
      <c r="L32" s="22"/>
      <c r="M32" s="22"/>
      <c r="N32" s="124"/>
    </row>
    <row r="33" spans="2:14">
      <c r="B33" s="147"/>
      <c r="C33" s="22"/>
      <c r="D33" s="22"/>
      <c r="E33" s="22"/>
      <c r="F33" s="22"/>
      <c r="G33" s="22"/>
      <c r="H33" s="22"/>
      <c r="I33" s="22"/>
      <c r="J33" s="22"/>
      <c r="K33" s="22"/>
      <c r="L33" s="22"/>
      <c r="M33" s="22"/>
      <c r="N33" s="124"/>
    </row>
    <row r="34" spans="2:14" ht="57.75" customHeight="1">
      <c r="B34" s="243" t="s">
        <v>4</v>
      </c>
      <c r="C34" s="244"/>
      <c r="D34" s="244"/>
      <c r="E34" s="244"/>
      <c r="F34" s="244"/>
      <c r="G34" s="244"/>
      <c r="H34" s="244"/>
      <c r="I34" s="244"/>
      <c r="J34" s="244"/>
      <c r="K34" s="244"/>
      <c r="L34" s="244"/>
      <c r="M34" s="244"/>
      <c r="N34" s="124"/>
    </row>
    <row r="35" spans="2:14" ht="60" customHeight="1">
      <c r="B35" s="241" t="s">
        <v>5</v>
      </c>
      <c r="C35" s="242"/>
      <c r="D35" s="242"/>
      <c r="E35" s="242"/>
      <c r="F35" s="242"/>
      <c r="G35" s="242"/>
      <c r="H35" s="242"/>
      <c r="I35" s="242"/>
      <c r="J35" s="242"/>
      <c r="K35" s="242"/>
      <c r="L35" s="242"/>
      <c r="M35" s="242"/>
      <c r="N35" s="124"/>
    </row>
    <row r="36" spans="2:14" ht="81.75" customHeight="1" thickBot="1">
      <c r="B36" s="233" t="s">
        <v>6</v>
      </c>
      <c r="C36" s="234"/>
      <c r="D36" s="234"/>
      <c r="E36" s="234"/>
      <c r="F36" s="234"/>
      <c r="G36" s="234"/>
      <c r="H36" s="234"/>
      <c r="I36" s="234"/>
      <c r="J36" s="234"/>
      <c r="K36" s="234"/>
      <c r="L36" s="234"/>
      <c r="M36" s="234"/>
      <c r="N36" s="150"/>
    </row>
    <row r="37" spans="2:14" ht="15.75" thickTop="1">
      <c r="B37" s="30"/>
      <c r="C37" s="30"/>
      <c r="D37" s="30"/>
      <c r="E37" s="30"/>
      <c r="F37" s="30"/>
      <c r="G37" s="30"/>
      <c r="H37" s="30"/>
      <c r="I37" s="30"/>
      <c r="J37" s="30"/>
      <c r="K37" s="30"/>
      <c r="L37" s="30"/>
      <c r="M37" s="30"/>
    </row>
    <row r="38" spans="2:14">
      <c r="B38" s="30"/>
      <c r="C38" s="30"/>
      <c r="D38" s="30"/>
      <c r="E38" s="30"/>
      <c r="F38" s="30"/>
      <c r="G38" s="30"/>
      <c r="H38" s="30"/>
      <c r="I38" s="30"/>
      <c r="J38" s="30"/>
      <c r="K38" s="30"/>
      <c r="L38" s="30"/>
      <c r="M38" s="30"/>
    </row>
    <row r="39" spans="2:14">
      <c r="B39" s="30"/>
      <c r="C39" s="30"/>
      <c r="D39" s="30"/>
      <c r="E39" s="30"/>
      <c r="F39" s="30"/>
      <c r="G39" s="30"/>
      <c r="H39" s="30"/>
      <c r="I39" s="30"/>
      <c r="J39" s="30"/>
      <c r="K39" s="30"/>
      <c r="L39" s="30"/>
      <c r="M39" s="30"/>
    </row>
    <row r="40" spans="2:14">
      <c r="B40" s="30"/>
      <c r="C40" s="30"/>
      <c r="D40" s="30"/>
      <c r="E40" s="30"/>
      <c r="F40" s="30"/>
      <c r="G40" s="30"/>
      <c r="H40" s="30"/>
      <c r="I40" s="30"/>
      <c r="J40" s="30"/>
      <c r="K40" s="30"/>
      <c r="L40" s="30"/>
      <c r="M40" s="30"/>
    </row>
    <row r="41" spans="2:14">
      <c r="B41" s="30"/>
      <c r="C41" s="30"/>
      <c r="D41" s="30"/>
      <c r="E41" s="30"/>
      <c r="F41" s="30"/>
      <c r="G41" s="30"/>
      <c r="H41" s="30"/>
      <c r="I41" s="30"/>
      <c r="J41" s="30"/>
      <c r="K41" s="30"/>
      <c r="L41" s="30"/>
      <c r="M41" s="30"/>
    </row>
    <row r="42" spans="2:14">
      <c r="B42" s="30"/>
      <c r="C42" s="30"/>
      <c r="D42" s="30"/>
      <c r="E42" s="30"/>
      <c r="F42" s="30"/>
      <c r="G42" s="30"/>
      <c r="H42" s="30"/>
      <c r="I42" s="30"/>
      <c r="J42" s="30"/>
      <c r="K42" s="30"/>
      <c r="L42" s="30"/>
      <c r="M42" s="30"/>
    </row>
    <row r="43" spans="2:14">
      <c r="B43" s="30"/>
      <c r="C43" s="30"/>
      <c r="D43" s="30"/>
      <c r="E43" s="30"/>
      <c r="F43" s="30"/>
      <c r="G43" s="30"/>
      <c r="H43" s="30"/>
      <c r="I43" s="30"/>
      <c r="J43" s="30"/>
      <c r="K43" s="30"/>
      <c r="L43" s="30"/>
      <c r="M43" s="30"/>
    </row>
    <row r="44" spans="2:14">
      <c r="B44" s="30"/>
      <c r="C44" s="30"/>
      <c r="D44" s="30"/>
      <c r="E44" s="30"/>
      <c r="F44" s="30"/>
      <c r="G44" s="30"/>
      <c r="H44" s="30"/>
      <c r="I44" s="30"/>
      <c r="J44" s="30"/>
      <c r="K44" s="30"/>
      <c r="L44" s="30"/>
      <c r="M44" s="30"/>
    </row>
    <row r="45" spans="2:14">
      <c r="B45" s="30"/>
      <c r="C45" s="30"/>
      <c r="D45" s="30"/>
      <c r="E45" s="30"/>
      <c r="F45" s="30"/>
      <c r="G45" s="30"/>
      <c r="H45" s="30"/>
      <c r="I45" s="30"/>
      <c r="J45" s="30"/>
      <c r="K45" s="30"/>
      <c r="L45" s="30"/>
      <c r="M45" s="30"/>
    </row>
    <row r="46" spans="2:14">
      <c r="B46" s="30"/>
      <c r="C46" s="30"/>
      <c r="D46" s="30"/>
      <c r="E46" s="30"/>
      <c r="F46" s="30"/>
      <c r="G46" s="30"/>
      <c r="H46" s="30"/>
      <c r="I46" s="30"/>
      <c r="J46" s="30"/>
      <c r="K46" s="30"/>
      <c r="L46" s="30"/>
      <c r="M46" s="30"/>
    </row>
    <row r="47" spans="2:14">
      <c r="B47" s="30"/>
      <c r="C47" s="30"/>
      <c r="D47" s="30"/>
      <c r="E47" s="30"/>
      <c r="F47" s="30"/>
      <c r="G47" s="30"/>
      <c r="H47" s="30"/>
      <c r="I47" s="30"/>
      <c r="J47" s="30"/>
      <c r="K47" s="30"/>
      <c r="L47" s="30"/>
      <c r="M47" s="30"/>
    </row>
    <row r="48" spans="2:14">
      <c r="B48" s="30"/>
      <c r="C48" s="30"/>
      <c r="D48" s="30"/>
      <c r="E48" s="30"/>
      <c r="F48" s="30"/>
      <c r="G48" s="30"/>
      <c r="H48" s="30"/>
      <c r="I48" s="30"/>
      <c r="J48" s="30"/>
      <c r="K48" s="30"/>
      <c r="L48" s="30"/>
      <c r="M48" s="30"/>
    </row>
    <row r="49" spans="2:13">
      <c r="B49" s="30"/>
      <c r="C49" s="30"/>
      <c r="D49" s="30"/>
      <c r="E49" s="30"/>
      <c r="F49" s="30"/>
      <c r="G49" s="30"/>
      <c r="H49" s="30"/>
      <c r="I49" s="30"/>
      <c r="J49" s="30"/>
      <c r="K49" s="30"/>
      <c r="L49" s="30"/>
      <c r="M49" s="30"/>
    </row>
    <row r="50" spans="2:13">
      <c r="B50" s="30"/>
      <c r="C50" s="30"/>
      <c r="D50" s="30"/>
      <c r="E50" s="30"/>
      <c r="F50" s="30"/>
      <c r="G50" s="30"/>
      <c r="H50" s="30"/>
      <c r="I50" s="30"/>
      <c r="J50" s="30"/>
      <c r="K50" s="30"/>
      <c r="L50" s="30"/>
      <c r="M50" s="30"/>
    </row>
    <row r="51" spans="2:13">
      <c r="B51" s="30"/>
      <c r="C51" s="30"/>
      <c r="D51" s="30"/>
      <c r="E51" s="30"/>
      <c r="F51" s="30"/>
      <c r="G51" s="30"/>
      <c r="H51" s="30"/>
      <c r="I51" s="30"/>
      <c r="J51" s="30"/>
      <c r="K51" s="30"/>
      <c r="L51" s="30"/>
      <c r="M51" s="30"/>
    </row>
    <row r="52" spans="2:13">
      <c r="B52" s="30"/>
      <c r="C52" s="30"/>
      <c r="D52" s="30"/>
      <c r="E52" s="30"/>
      <c r="F52" s="30"/>
      <c r="G52" s="30"/>
      <c r="H52" s="30"/>
      <c r="I52" s="30"/>
      <c r="J52" s="30"/>
      <c r="K52" s="30"/>
      <c r="L52" s="30"/>
      <c r="M52" s="30"/>
    </row>
    <row r="53" spans="2:13">
      <c r="B53" s="30"/>
      <c r="C53" s="30"/>
      <c r="D53" s="30"/>
      <c r="E53" s="30"/>
      <c r="F53" s="30"/>
      <c r="G53" s="30"/>
      <c r="H53" s="30"/>
      <c r="I53" s="30"/>
      <c r="J53" s="30"/>
      <c r="K53" s="30"/>
      <c r="L53" s="30"/>
      <c r="M53" s="30"/>
    </row>
    <row r="54" spans="2:13">
      <c r="B54" s="30"/>
      <c r="C54" s="30"/>
      <c r="D54" s="30"/>
      <c r="E54" s="30"/>
      <c r="F54" s="30"/>
      <c r="G54" s="30"/>
      <c r="H54" s="30"/>
      <c r="I54" s="30"/>
      <c r="J54" s="30"/>
      <c r="K54" s="30"/>
      <c r="L54" s="30"/>
      <c r="M54" s="30"/>
    </row>
    <row r="55" spans="2:13">
      <c r="B55" s="30"/>
      <c r="C55" s="30"/>
      <c r="D55" s="30"/>
      <c r="E55" s="30"/>
      <c r="F55" s="30"/>
      <c r="G55" s="30"/>
      <c r="H55" s="30"/>
      <c r="I55" s="30"/>
      <c r="J55" s="30"/>
      <c r="K55" s="30"/>
      <c r="L55" s="30"/>
      <c r="M55" s="30"/>
    </row>
    <row r="56" spans="2:13">
      <c r="B56" s="30"/>
      <c r="C56" s="30"/>
      <c r="D56" s="30"/>
      <c r="E56" s="30"/>
      <c r="F56" s="30"/>
      <c r="G56" s="30"/>
      <c r="H56" s="30"/>
      <c r="I56" s="30"/>
      <c r="J56" s="30"/>
      <c r="K56" s="30"/>
      <c r="L56" s="30"/>
      <c r="M56" s="30"/>
    </row>
    <row r="57" spans="2:13">
      <c r="B57" s="30"/>
      <c r="C57" s="30"/>
      <c r="D57" s="30"/>
      <c r="E57" s="30"/>
      <c r="F57" s="30"/>
      <c r="G57" s="30"/>
      <c r="H57" s="30"/>
      <c r="I57" s="30"/>
      <c r="J57" s="30"/>
      <c r="K57" s="30"/>
      <c r="L57" s="30"/>
      <c r="M57" s="30"/>
    </row>
    <row r="58" spans="2:13">
      <c r="B58" s="30"/>
      <c r="C58" s="30"/>
      <c r="D58" s="30"/>
      <c r="E58" s="30"/>
      <c r="F58" s="30"/>
      <c r="G58" s="30"/>
      <c r="H58" s="30"/>
      <c r="I58" s="30"/>
      <c r="J58" s="30"/>
      <c r="K58" s="30"/>
      <c r="L58" s="30"/>
      <c r="M58" s="30"/>
    </row>
    <row r="59" spans="2:13">
      <c r="B59" s="30"/>
      <c r="C59" s="30"/>
      <c r="D59" s="30"/>
      <c r="E59" s="30"/>
      <c r="F59" s="30"/>
      <c r="G59" s="30"/>
      <c r="H59" s="30"/>
      <c r="I59" s="30"/>
      <c r="J59" s="30"/>
      <c r="K59" s="30"/>
      <c r="L59" s="30"/>
      <c r="M59" s="30"/>
    </row>
    <row r="60" spans="2:13">
      <c r="B60" s="30"/>
      <c r="C60" s="30"/>
      <c r="D60" s="30"/>
      <c r="E60" s="30"/>
      <c r="F60" s="30"/>
      <c r="G60" s="30"/>
      <c r="H60" s="30"/>
      <c r="I60" s="30"/>
      <c r="J60" s="30"/>
      <c r="K60" s="30"/>
      <c r="L60" s="30"/>
      <c r="M60" s="30"/>
    </row>
    <row r="61" spans="2:13">
      <c r="B61" s="30"/>
      <c r="C61" s="30"/>
      <c r="D61" s="30"/>
      <c r="E61" s="30"/>
      <c r="F61" s="30"/>
      <c r="G61" s="30"/>
      <c r="H61" s="30"/>
      <c r="I61" s="30"/>
      <c r="J61" s="30"/>
      <c r="K61" s="30"/>
      <c r="L61" s="30"/>
      <c r="M61" s="30"/>
    </row>
    <row r="62" spans="2:13">
      <c r="B62" s="30"/>
      <c r="C62" s="30"/>
      <c r="D62" s="30"/>
      <c r="E62" s="30"/>
      <c r="F62" s="30"/>
      <c r="G62" s="30"/>
      <c r="H62" s="30"/>
      <c r="I62" s="30"/>
      <c r="J62" s="30"/>
      <c r="K62" s="30"/>
      <c r="L62" s="30"/>
      <c r="M62" s="30"/>
    </row>
    <row r="63" spans="2:13">
      <c r="B63" s="30"/>
      <c r="C63" s="30"/>
      <c r="D63" s="30"/>
      <c r="E63" s="30"/>
      <c r="F63" s="30"/>
      <c r="G63" s="30"/>
      <c r="H63" s="30"/>
      <c r="I63" s="30"/>
      <c r="J63" s="30"/>
      <c r="K63" s="30"/>
      <c r="L63" s="30"/>
      <c r="M63" s="30"/>
    </row>
    <row r="64" spans="2:13">
      <c r="B64" s="30"/>
      <c r="C64" s="30"/>
      <c r="D64" s="30"/>
      <c r="E64" s="30"/>
      <c r="F64" s="30"/>
      <c r="G64" s="30"/>
      <c r="H64" s="30"/>
      <c r="I64" s="30"/>
      <c r="J64" s="30"/>
      <c r="K64" s="30"/>
      <c r="L64" s="30"/>
      <c r="M64" s="30"/>
    </row>
    <row r="65" spans="2:13">
      <c r="B65" s="30"/>
      <c r="C65" s="30"/>
      <c r="D65" s="30"/>
      <c r="E65" s="30"/>
      <c r="F65" s="30"/>
      <c r="G65" s="30"/>
      <c r="H65" s="30"/>
      <c r="I65" s="30"/>
      <c r="J65" s="30"/>
      <c r="K65" s="30"/>
      <c r="L65" s="30"/>
      <c r="M65" s="30"/>
    </row>
    <row r="66" spans="2:13">
      <c r="B66" s="30"/>
      <c r="C66" s="30"/>
      <c r="D66" s="30"/>
      <c r="E66" s="30"/>
      <c r="F66" s="30"/>
      <c r="G66" s="30"/>
      <c r="H66" s="30"/>
      <c r="I66" s="30"/>
      <c r="J66" s="30"/>
      <c r="K66" s="30"/>
      <c r="L66" s="30"/>
      <c r="M66" s="30"/>
    </row>
    <row r="67" spans="2:13">
      <c r="B67" s="30"/>
      <c r="C67" s="30"/>
      <c r="D67" s="30"/>
      <c r="E67" s="30"/>
      <c r="F67" s="30"/>
      <c r="G67" s="30"/>
      <c r="H67" s="30"/>
      <c r="I67" s="30"/>
      <c r="J67" s="30"/>
      <c r="K67" s="30"/>
      <c r="L67" s="30"/>
      <c r="M67" s="30"/>
    </row>
    <row r="68" spans="2:13">
      <c r="B68" s="30"/>
      <c r="C68" s="30"/>
      <c r="D68" s="30"/>
      <c r="E68" s="30"/>
      <c r="F68" s="30"/>
      <c r="G68" s="30"/>
      <c r="H68" s="30"/>
      <c r="I68" s="30"/>
      <c r="J68" s="30"/>
      <c r="K68" s="30"/>
      <c r="L68" s="30"/>
      <c r="M68" s="30"/>
    </row>
    <row r="69" spans="2:13">
      <c r="B69" s="30"/>
      <c r="C69" s="30"/>
      <c r="D69" s="30"/>
      <c r="E69" s="30"/>
      <c r="F69" s="30"/>
      <c r="G69" s="30"/>
      <c r="H69" s="30"/>
      <c r="I69" s="30"/>
      <c r="J69" s="30"/>
      <c r="K69" s="30"/>
      <c r="L69" s="30"/>
      <c r="M69" s="30"/>
    </row>
    <row r="70" spans="2:13">
      <c r="B70" s="30"/>
      <c r="C70" s="30"/>
      <c r="D70" s="30"/>
      <c r="E70" s="30"/>
      <c r="F70" s="30"/>
      <c r="G70" s="30"/>
      <c r="H70" s="30"/>
      <c r="I70" s="30"/>
      <c r="J70" s="30"/>
      <c r="K70" s="30"/>
      <c r="L70" s="30"/>
      <c r="M70" s="30"/>
    </row>
    <row r="71" spans="2:13">
      <c r="B71" s="30"/>
      <c r="C71" s="30"/>
      <c r="D71" s="30"/>
      <c r="E71" s="30"/>
      <c r="F71" s="30"/>
      <c r="G71" s="30"/>
      <c r="H71" s="30"/>
      <c r="I71" s="30"/>
      <c r="J71" s="30"/>
      <c r="K71" s="30"/>
      <c r="L71" s="30"/>
      <c r="M71" s="30"/>
    </row>
    <row r="72" spans="2:13">
      <c r="B72" s="30"/>
      <c r="C72" s="30"/>
      <c r="D72" s="30"/>
      <c r="E72" s="30"/>
      <c r="F72" s="30"/>
      <c r="G72" s="30"/>
      <c r="H72" s="30"/>
      <c r="I72" s="30"/>
      <c r="J72" s="30"/>
      <c r="K72" s="30"/>
      <c r="L72" s="30"/>
      <c r="M72" s="30"/>
    </row>
    <row r="73" spans="2:13">
      <c r="B73" s="30"/>
      <c r="C73" s="30"/>
      <c r="D73" s="30"/>
      <c r="E73" s="30"/>
      <c r="F73" s="30"/>
      <c r="G73" s="30"/>
      <c r="H73" s="30"/>
      <c r="I73" s="30"/>
      <c r="J73" s="30"/>
      <c r="K73" s="30"/>
      <c r="L73" s="30"/>
      <c r="M73" s="30"/>
    </row>
    <row r="74" spans="2:13">
      <c r="B74" s="30"/>
      <c r="C74" s="30"/>
      <c r="D74" s="30"/>
      <c r="E74" s="30"/>
      <c r="F74" s="30"/>
      <c r="G74" s="30"/>
      <c r="H74" s="30"/>
      <c r="I74" s="30"/>
      <c r="J74" s="30"/>
      <c r="K74" s="30"/>
      <c r="L74" s="30"/>
      <c r="M74" s="30"/>
    </row>
    <row r="75" spans="2:13">
      <c r="B75" s="30"/>
      <c r="C75" s="30"/>
      <c r="D75" s="30"/>
      <c r="E75" s="30"/>
      <c r="F75" s="30"/>
      <c r="G75" s="30"/>
      <c r="H75" s="30"/>
      <c r="I75" s="30"/>
      <c r="J75" s="30"/>
      <c r="K75" s="30"/>
      <c r="L75" s="30"/>
      <c r="M75" s="30"/>
    </row>
    <row r="76" spans="2:13">
      <c r="B76" s="30"/>
      <c r="C76" s="30"/>
      <c r="D76" s="30"/>
      <c r="E76" s="30"/>
      <c r="F76" s="30"/>
      <c r="G76" s="30"/>
      <c r="H76" s="30"/>
      <c r="I76" s="30"/>
      <c r="J76" s="30"/>
      <c r="K76" s="30"/>
      <c r="L76" s="30"/>
      <c r="M76" s="30"/>
    </row>
    <row r="77" spans="2:13">
      <c r="B77" s="30"/>
      <c r="C77" s="30"/>
      <c r="D77" s="30"/>
      <c r="E77" s="30"/>
      <c r="F77" s="30"/>
      <c r="G77" s="30"/>
      <c r="H77" s="30"/>
      <c r="I77" s="30"/>
      <c r="J77" s="30"/>
      <c r="K77" s="30"/>
      <c r="L77" s="30"/>
      <c r="M77" s="30"/>
    </row>
    <row r="78" spans="2:13">
      <c r="B78" s="30"/>
      <c r="C78" s="30"/>
      <c r="D78" s="30"/>
      <c r="E78" s="30"/>
      <c r="F78" s="30"/>
      <c r="G78" s="30"/>
      <c r="H78" s="30"/>
      <c r="I78" s="30"/>
      <c r="J78" s="30"/>
      <c r="K78" s="30"/>
      <c r="L78" s="30"/>
      <c r="M78" s="30"/>
    </row>
    <row r="79" spans="2:13">
      <c r="B79" s="30"/>
      <c r="C79" s="30"/>
      <c r="D79" s="30"/>
      <c r="E79" s="30"/>
      <c r="F79" s="30"/>
      <c r="G79" s="30"/>
      <c r="H79" s="30"/>
      <c r="I79" s="30"/>
      <c r="J79" s="30"/>
      <c r="K79" s="30"/>
      <c r="L79" s="30"/>
      <c r="M79" s="30"/>
    </row>
    <row r="80" spans="2:13">
      <c r="B80" s="30"/>
      <c r="C80" s="30"/>
      <c r="D80" s="30"/>
      <c r="E80" s="30"/>
      <c r="F80" s="30"/>
      <c r="G80" s="30"/>
      <c r="H80" s="30"/>
      <c r="I80" s="30"/>
      <c r="J80" s="30"/>
      <c r="K80" s="30"/>
      <c r="L80" s="30"/>
      <c r="M80" s="30"/>
    </row>
    <row r="81" spans="2:13">
      <c r="B81" s="30"/>
      <c r="C81" s="30"/>
      <c r="D81" s="30"/>
      <c r="E81" s="30"/>
      <c r="F81" s="30"/>
      <c r="G81" s="30"/>
      <c r="H81" s="30"/>
      <c r="I81" s="30"/>
      <c r="J81" s="30"/>
      <c r="K81" s="30"/>
      <c r="L81" s="30"/>
      <c r="M81" s="30"/>
    </row>
    <row r="82" spans="2:13">
      <c r="B82" s="30"/>
      <c r="C82" s="30"/>
      <c r="D82" s="30"/>
      <c r="E82" s="30"/>
      <c r="F82" s="30"/>
      <c r="G82" s="30"/>
      <c r="H82" s="30"/>
      <c r="I82" s="30"/>
      <c r="J82" s="30"/>
      <c r="K82" s="30"/>
      <c r="L82" s="30"/>
      <c r="M82" s="30"/>
    </row>
    <row r="83" spans="2:13">
      <c r="B83" s="30"/>
      <c r="C83" s="30"/>
      <c r="D83" s="30"/>
      <c r="E83" s="30"/>
      <c r="F83" s="30"/>
      <c r="G83" s="30"/>
      <c r="H83" s="30"/>
      <c r="I83" s="30"/>
      <c r="J83" s="30"/>
      <c r="K83" s="30"/>
      <c r="L83" s="30"/>
      <c r="M83" s="30"/>
    </row>
    <row r="84" spans="2:13">
      <c r="B84" s="30"/>
      <c r="C84" s="30"/>
      <c r="D84" s="30"/>
      <c r="E84" s="30"/>
      <c r="F84" s="30"/>
      <c r="G84" s="30"/>
      <c r="H84" s="30"/>
      <c r="I84" s="30"/>
      <c r="J84" s="30"/>
      <c r="K84" s="30"/>
      <c r="L84" s="30"/>
      <c r="M84" s="30"/>
    </row>
    <row r="85" spans="2:13">
      <c r="B85" s="30"/>
      <c r="C85" s="30"/>
      <c r="D85" s="30"/>
      <c r="E85" s="30"/>
      <c r="F85" s="30"/>
      <c r="G85" s="30"/>
      <c r="H85" s="30"/>
      <c r="I85" s="30"/>
      <c r="J85" s="30"/>
      <c r="K85" s="30"/>
      <c r="L85" s="30"/>
      <c r="M85" s="30"/>
    </row>
    <row r="86" spans="2:13">
      <c r="B86" s="30"/>
      <c r="C86" s="30"/>
      <c r="D86" s="30"/>
      <c r="E86" s="30"/>
      <c r="F86" s="30"/>
      <c r="G86" s="30"/>
      <c r="H86" s="30"/>
      <c r="I86" s="30"/>
      <c r="J86" s="30"/>
      <c r="K86" s="30"/>
      <c r="L86" s="30"/>
      <c r="M86" s="30"/>
    </row>
    <row r="87" spans="2:13">
      <c r="B87" s="30"/>
      <c r="C87" s="30"/>
      <c r="D87" s="30"/>
      <c r="E87" s="30"/>
      <c r="F87" s="30"/>
      <c r="G87" s="30"/>
      <c r="H87" s="30"/>
      <c r="I87" s="30"/>
      <c r="J87" s="30"/>
      <c r="K87" s="30"/>
      <c r="L87" s="30"/>
      <c r="M87" s="30"/>
    </row>
    <row r="88" spans="2:13">
      <c r="B88" s="30"/>
      <c r="C88" s="30"/>
      <c r="D88" s="30"/>
      <c r="E88" s="30"/>
      <c r="F88" s="30"/>
      <c r="G88" s="30"/>
      <c r="H88" s="30"/>
      <c r="I88" s="30"/>
      <c r="J88" s="30"/>
      <c r="K88" s="30"/>
      <c r="L88" s="30"/>
      <c r="M88" s="30"/>
    </row>
    <row r="89" spans="2:13">
      <c r="B89" s="30"/>
      <c r="C89" s="30"/>
      <c r="D89" s="30"/>
      <c r="E89" s="30"/>
      <c r="F89" s="30"/>
      <c r="G89" s="30"/>
      <c r="H89" s="30"/>
      <c r="I89" s="30"/>
      <c r="J89" s="30"/>
      <c r="K89" s="30"/>
      <c r="L89" s="30"/>
      <c r="M89" s="30"/>
    </row>
    <row r="90" spans="2:13">
      <c r="B90" s="30"/>
      <c r="C90" s="30"/>
      <c r="D90" s="30"/>
      <c r="E90" s="30"/>
      <c r="F90" s="30"/>
      <c r="G90" s="30"/>
      <c r="H90" s="30"/>
      <c r="I90" s="30"/>
      <c r="J90" s="30"/>
      <c r="K90" s="30"/>
      <c r="L90" s="30"/>
      <c r="M90" s="30"/>
    </row>
    <row r="91" spans="2:13">
      <c r="B91" s="30"/>
      <c r="C91" s="30"/>
      <c r="D91" s="30"/>
      <c r="E91" s="30"/>
      <c r="F91" s="30"/>
      <c r="G91" s="30"/>
      <c r="H91" s="30"/>
      <c r="I91" s="30"/>
      <c r="J91" s="30"/>
      <c r="K91" s="30"/>
      <c r="L91" s="30"/>
      <c r="M91" s="30"/>
    </row>
    <row r="92" spans="2:13">
      <c r="B92" s="30"/>
      <c r="C92" s="30"/>
      <c r="D92" s="30"/>
      <c r="E92" s="30"/>
      <c r="F92" s="30"/>
      <c r="G92" s="30"/>
      <c r="H92" s="30"/>
      <c r="I92" s="30"/>
      <c r="J92" s="30"/>
      <c r="K92" s="30"/>
      <c r="L92" s="30"/>
      <c r="M92" s="30"/>
    </row>
    <row r="93" spans="2:13">
      <c r="B93" s="30"/>
      <c r="C93" s="30"/>
      <c r="D93" s="30"/>
      <c r="E93" s="30"/>
      <c r="F93" s="30"/>
      <c r="G93" s="30"/>
      <c r="H93" s="30"/>
      <c r="I93" s="30"/>
      <c r="J93" s="30"/>
      <c r="K93" s="30"/>
      <c r="L93" s="30"/>
      <c r="M93" s="30"/>
    </row>
    <row r="94" spans="2:13">
      <c r="B94" s="30"/>
      <c r="C94" s="30"/>
      <c r="D94" s="30"/>
      <c r="E94" s="30"/>
      <c r="F94" s="30"/>
      <c r="G94" s="30"/>
      <c r="H94" s="30"/>
      <c r="I94" s="30"/>
      <c r="J94" s="30"/>
      <c r="K94" s="30"/>
      <c r="L94" s="30"/>
      <c r="M94" s="30"/>
    </row>
    <row r="95" spans="2:13">
      <c r="B95" s="30"/>
      <c r="C95" s="30"/>
      <c r="D95" s="30"/>
      <c r="E95" s="30"/>
      <c r="F95" s="30"/>
      <c r="G95" s="30"/>
      <c r="H95" s="30"/>
      <c r="I95" s="30"/>
      <c r="J95" s="30"/>
      <c r="K95" s="30"/>
      <c r="L95" s="30"/>
      <c r="M95" s="30"/>
    </row>
    <row r="96" spans="2:13">
      <c r="B96" s="30"/>
      <c r="C96" s="30"/>
      <c r="D96" s="30"/>
      <c r="E96" s="30"/>
      <c r="F96" s="30"/>
      <c r="G96" s="30"/>
      <c r="H96" s="30"/>
      <c r="I96" s="30"/>
      <c r="J96" s="30"/>
      <c r="K96" s="30"/>
      <c r="L96" s="30"/>
      <c r="M96" s="30"/>
    </row>
    <row r="97" spans="2:13">
      <c r="B97" s="30"/>
      <c r="C97" s="30"/>
      <c r="D97" s="30"/>
      <c r="E97" s="30"/>
      <c r="F97" s="30"/>
      <c r="G97" s="30"/>
      <c r="H97" s="30"/>
      <c r="I97" s="30"/>
      <c r="J97" s="30"/>
      <c r="K97" s="30"/>
      <c r="L97" s="30"/>
      <c r="M97" s="30"/>
    </row>
    <row r="98" spans="2:13">
      <c r="B98" s="30"/>
      <c r="C98" s="30"/>
      <c r="D98" s="30"/>
      <c r="E98" s="30"/>
      <c r="F98" s="30"/>
      <c r="G98" s="30"/>
      <c r="H98" s="30"/>
      <c r="I98" s="30"/>
      <c r="J98" s="30"/>
      <c r="K98" s="30"/>
      <c r="L98" s="30"/>
      <c r="M98" s="30"/>
    </row>
    <row r="99" spans="2:13">
      <c r="B99" s="30"/>
      <c r="C99" s="30"/>
      <c r="D99" s="30"/>
      <c r="E99" s="30"/>
      <c r="F99" s="30"/>
      <c r="G99" s="30"/>
      <c r="H99" s="30"/>
      <c r="I99" s="30"/>
      <c r="J99" s="30"/>
      <c r="K99" s="30"/>
      <c r="L99" s="30"/>
      <c r="M99" s="30"/>
    </row>
    <row r="100" spans="2:13">
      <c r="B100" s="30"/>
      <c r="C100" s="30"/>
      <c r="D100" s="30"/>
      <c r="E100" s="30"/>
      <c r="F100" s="30"/>
      <c r="G100" s="30"/>
      <c r="H100" s="30"/>
      <c r="I100" s="30"/>
      <c r="J100" s="30"/>
      <c r="K100" s="30"/>
      <c r="L100" s="30"/>
      <c r="M100" s="30"/>
    </row>
    <row r="101" spans="2:13">
      <c r="B101" s="30"/>
      <c r="C101" s="30"/>
      <c r="D101" s="30"/>
      <c r="E101" s="30"/>
      <c r="F101" s="30"/>
      <c r="G101" s="30"/>
      <c r="H101" s="30"/>
      <c r="I101" s="30"/>
      <c r="J101" s="30"/>
      <c r="K101" s="30"/>
      <c r="L101" s="30"/>
      <c r="M101" s="30"/>
    </row>
    <row r="102" spans="2:13">
      <c r="B102" s="30"/>
      <c r="C102" s="30"/>
      <c r="D102" s="30"/>
      <c r="E102" s="30"/>
      <c r="F102" s="30"/>
      <c r="G102" s="30"/>
      <c r="H102" s="30"/>
      <c r="I102" s="30"/>
      <c r="J102" s="30"/>
      <c r="K102" s="30"/>
      <c r="L102" s="30"/>
      <c r="M102" s="30"/>
    </row>
    <row r="103" spans="2:13">
      <c r="B103" s="30"/>
      <c r="C103" s="30"/>
      <c r="D103" s="30"/>
      <c r="E103" s="30"/>
      <c r="F103" s="30"/>
      <c r="G103" s="30"/>
      <c r="H103" s="30"/>
      <c r="I103" s="30"/>
      <c r="J103" s="30"/>
      <c r="K103" s="30"/>
      <c r="L103" s="30"/>
      <c r="M103" s="30"/>
    </row>
    <row r="104" spans="2:13">
      <c r="B104" s="30"/>
      <c r="C104" s="30"/>
      <c r="D104" s="30"/>
      <c r="E104" s="30"/>
      <c r="F104" s="30"/>
      <c r="G104" s="30"/>
      <c r="H104" s="30"/>
      <c r="I104" s="30"/>
      <c r="J104" s="30"/>
      <c r="K104" s="30"/>
      <c r="L104" s="30"/>
      <c r="M104" s="30"/>
    </row>
    <row r="105" spans="2:13">
      <c r="B105" s="30"/>
      <c r="C105" s="30"/>
      <c r="D105" s="30"/>
      <c r="E105" s="30"/>
      <c r="F105" s="30"/>
      <c r="G105" s="30"/>
      <c r="H105" s="30"/>
      <c r="I105" s="30"/>
      <c r="J105" s="30"/>
      <c r="K105" s="30"/>
      <c r="L105" s="30"/>
      <c r="M105" s="30"/>
    </row>
    <row r="106" spans="2:13">
      <c r="B106" s="30"/>
      <c r="C106" s="30"/>
      <c r="D106" s="30"/>
      <c r="E106" s="30"/>
      <c r="F106" s="30"/>
      <c r="G106" s="30"/>
      <c r="H106" s="30"/>
      <c r="I106" s="30"/>
      <c r="J106" s="30"/>
      <c r="K106" s="30"/>
      <c r="L106" s="30"/>
      <c r="M106" s="30"/>
    </row>
    <row r="107" spans="2:13">
      <c r="B107" s="30"/>
      <c r="C107" s="30"/>
      <c r="D107" s="30"/>
      <c r="E107" s="30"/>
      <c r="F107" s="30"/>
      <c r="G107" s="30"/>
      <c r="H107" s="30"/>
      <c r="I107" s="30"/>
      <c r="J107" s="30"/>
      <c r="K107" s="30"/>
      <c r="L107" s="30"/>
      <c r="M107" s="30"/>
    </row>
    <row r="108" spans="2:13">
      <c r="B108" s="30"/>
      <c r="C108" s="30"/>
      <c r="D108" s="30"/>
      <c r="E108" s="30"/>
      <c r="F108" s="30"/>
      <c r="G108" s="30"/>
      <c r="H108" s="30"/>
      <c r="I108" s="30"/>
      <c r="J108" s="30"/>
      <c r="K108" s="30"/>
      <c r="L108" s="30"/>
      <c r="M108" s="30"/>
    </row>
    <row r="109" spans="2:13">
      <c r="B109" s="30"/>
      <c r="C109" s="30"/>
      <c r="D109" s="30"/>
      <c r="E109" s="30"/>
      <c r="F109" s="30"/>
      <c r="G109" s="30"/>
      <c r="H109" s="30"/>
      <c r="I109" s="30"/>
      <c r="J109" s="30"/>
      <c r="K109" s="30"/>
      <c r="L109" s="30"/>
      <c r="M109" s="30"/>
    </row>
    <row r="110" spans="2:13">
      <c r="B110" s="30"/>
      <c r="C110" s="30"/>
      <c r="D110" s="30"/>
      <c r="E110" s="30"/>
      <c r="F110" s="30"/>
      <c r="G110" s="30"/>
      <c r="H110" s="30"/>
      <c r="I110" s="30"/>
      <c r="J110" s="30"/>
      <c r="K110" s="30"/>
      <c r="L110" s="30"/>
      <c r="M110" s="30"/>
    </row>
    <row r="111" spans="2:13">
      <c r="B111" s="30"/>
      <c r="C111" s="30"/>
      <c r="D111" s="30"/>
      <c r="E111" s="30"/>
      <c r="F111" s="30"/>
      <c r="G111" s="30"/>
      <c r="H111" s="30"/>
      <c r="I111" s="30"/>
      <c r="J111" s="30"/>
      <c r="K111" s="30"/>
      <c r="L111" s="30"/>
      <c r="M111" s="30"/>
    </row>
    <row r="112" spans="2:13">
      <c r="B112" s="30"/>
      <c r="C112" s="30"/>
      <c r="D112" s="30"/>
      <c r="E112" s="30"/>
      <c r="F112" s="30"/>
      <c r="G112" s="30"/>
      <c r="H112" s="30"/>
      <c r="I112" s="30"/>
      <c r="J112" s="30"/>
      <c r="K112" s="30"/>
      <c r="L112" s="30"/>
      <c r="M112" s="30"/>
    </row>
    <row r="113" spans="2:13">
      <c r="B113" s="30"/>
      <c r="C113" s="30"/>
      <c r="D113" s="30"/>
      <c r="E113" s="30"/>
      <c r="F113" s="30"/>
      <c r="G113" s="30"/>
      <c r="H113" s="30"/>
      <c r="I113" s="30"/>
      <c r="J113" s="30"/>
      <c r="K113" s="30"/>
      <c r="L113" s="30"/>
      <c r="M113" s="30"/>
    </row>
    <row r="114" spans="2:13">
      <c r="B114" s="30"/>
      <c r="C114" s="30"/>
      <c r="D114" s="30"/>
      <c r="E114" s="30"/>
      <c r="F114" s="30"/>
      <c r="G114" s="30"/>
      <c r="H114" s="30"/>
      <c r="I114" s="30"/>
      <c r="J114" s="30"/>
      <c r="K114" s="30"/>
      <c r="L114" s="30"/>
      <c r="M114" s="30"/>
    </row>
    <row r="115" spans="2:13">
      <c r="B115" s="30"/>
      <c r="C115" s="30"/>
      <c r="D115" s="30"/>
      <c r="E115" s="30"/>
      <c r="F115" s="30"/>
      <c r="G115" s="30"/>
      <c r="H115" s="30"/>
      <c r="I115" s="30"/>
      <c r="J115" s="30"/>
      <c r="K115" s="30"/>
      <c r="L115" s="30"/>
      <c r="M115" s="30"/>
    </row>
    <row r="116" spans="2:13">
      <c r="B116" s="30"/>
      <c r="C116" s="30"/>
      <c r="D116" s="30"/>
      <c r="E116" s="30"/>
      <c r="F116" s="30"/>
      <c r="G116" s="30"/>
      <c r="H116" s="30"/>
      <c r="I116" s="30"/>
      <c r="J116" s="30"/>
      <c r="K116" s="30"/>
      <c r="L116" s="30"/>
      <c r="M116" s="30"/>
    </row>
    <row r="117" spans="2:13">
      <c r="B117" s="30"/>
      <c r="C117" s="30"/>
      <c r="D117" s="30"/>
      <c r="E117" s="30"/>
      <c r="F117" s="30"/>
      <c r="G117" s="30"/>
      <c r="H117" s="30"/>
      <c r="I117" s="30"/>
      <c r="J117" s="30"/>
      <c r="K117" s="30"/>
      <c r="L117" s="30"/>
      <c r="M117" s="30"/>
    </row>
    <row r="118" spans="2:13">
      <c r="B118" s="30"/>
      <c r="C118" s="30"/>
      <c r="D118" s="30"/>
      <c r="E118" s="30"/>
      <c r="F118" s="30"/>
      <c r="G118" s="30"/>
      <c r="H118" s="30"/>
      <c r="I118" s="30"/>
      <c r="J118" s="30"/>
      <c r="K118" s="30"/>
      <c r="L118" s="30"/>
      <c r="M118" s="30"/>
    </row>
    <row r="119" spans="2:13">
      <c r="B119" s="30"/>
      <c r="C119" s="30"/>
      <c r="D119" s="30"/>
      <c r="E119" s="30"/>
      <c r="F119" s="30"/>
      <c r="G119" s="30"/>
      <c r="H119" s="30"/>
      <c r="I119" s="30"/>
      <c r="J119" s="30"/>
      <c r="K119" s="30"/>
      <c r="L119" s="30"/>
      <c r="M119" s="30"/>
    </row>
    <row r="120" spans="2:13">
      <c r="B120" s="30"/>
      <c r="C120" s="30"/>
      <c r="D120" s="30"/>
      <c r="E120" s="30"/>
      <c r="F120" s="30"/>
      <c r="G120" s="30"/>
      <c r="H120" s="30"/>
      <c r="I120" s="30"/>
      <c r="J120" s="30"/>
      <c r="K120" s="30"/>
      <c r="L120" s="30"/>
      <c r="M120" s="30"/>
    </row>
    <row r="121" spans="2:13">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Normal="100" workbookViewId="0">
      <selection activeCell="B9" sqref="B9:M9"/>
    </sheetView>
  </sheetViews>
  <sheetFormatPr defaultColWidth="9.140625" defaultRowHeight="15"/>
  <cols>
    <col min="1" max="13" width="9.140625" style="152"/>
    <col min="14" max="14" width="1.7109375" style="152" customWidth="1"/>
    <col min="15" max="26" width="9.140625" style="152"/>
    <col min="27" max="27" width="2.85546875" style="152" customWidth="1"/>
    <col min="28" max="29" width="9.140625" style="152" hidden="1" customWidth="1"/>
    <col min="30" max="30" width="8.5703125" style="152" hidden="1" customWidth="1"/>
    <col min="31" max="31" width="0.42578125" style="152" customWidth="1"/>
    <col min="32" max="16384" width="9.140625" style="152"/>
  </cols>
  <sheetData>
    <row r="3" spans="1:34" ht="15.75" customHeight="1">
      <c r="A3" s="216"/>
      <c r="B3" s="247" t="s">
        <v>7</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17"/>
      <c r="AG3" s="217"/>
      <c r="AH3" s="217"/>
    </row>
    <row r="4" spans="1:34" ht="15" customHeight="1">
      <c r="A4" s="21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17"/>
      <c r="AG4" s="217"/>
      <c r="AH4" s="217"/>
    </row>
    <row r="5" spans="1:34" ht="8.25" customHeight="1">
      <c r="B5" s="146"/>
      <c r="C5" s="1"/>
      <c r="D5" s="1"/>
      <c r="E5" s="1"/>
      <c r="F5" s="1"/>
      <c r="G5" s="1"/>
      <c r="H5" s="1"/>
      <c r="I5" s="1"/>
      <c r="J5" s="1"/>
      <c r="K5" s="1"/>
      <c r="L5" s="1"/>
      <c r="M5" s="1"/>
      <c r="N5" s="124"/>
    </row>
    <row r="6" spans="1:34" ht="26.25" customHeight="1">
      <c r="B6" s="241" t="s">
        <v>8</v>
      </c>
      <c r="C6" s="242"/>
      <c r="D6" s="242"/>
      <c r="E6" s="242"/>
      <c r="F6" s="242"/>
      <c r="G6" s="242"/>
      <c r="H6" s="242"/>
      <c r="I6" s="242"/>
      <c r="J6" s="242"/>
      <c r="K6" s="242"/>
      <c r="L6" s="242"/>
      <c r="M6" s="242"/>
      <c r="N6" s="124"/>
    </row>
    <row r="7" spans="1:34" ht="27.75" customHeight="1">
      <c r="B7" s="245" t="s">
        <v>9</v>
      </c>
      <c r="C7" s="246"/>
      <c r="D7" s="246"/>
      <c r="E7" s="246"/>
      <c r="F7" s="246"/>
      <c r="G7" s="246"/>
      <c r="H7" s="246"/>
      <c r="I7" s="246"/>
      <c r="J7" s="246"/>
      <c r="K7" s="246"/>
      <c r="L7" s="246"/>
      <c r="M7" s="246"/>
      <c r="N7" s="124"/>
    </row>
    <row r="8" spans="1:34" ht="35.450000000000003" customHeight="1">
      <c r="B8" s="245" t="s">
        <v>10</v>
      </c>
      <c r="C8" s="246"/>
      <c r="D8" s="246"/>
      <c r="E8" s="246"/>
      <c r="F8" s="246"/>
      <c r="G8" s="246"/>
      <c r="H8" s="246"/>
      <c r="I8" s="246"/>
      <c r="J8" s="246"/>
      <c r="K8" s="246"/>
      <c r="L8" s="246"/>
      <c r="M8" s="246"/>
      <c r="N8" s="124"/>
    </row>
    <row r="9" spans="1:34" ht="60" customHeight="1">
      <c r="B9" s="245" t="s">
        <v>11</v>
      </c>
      <c r="C9" s="246"/>
      <c r="D9" s="246"/>
      <c r="E9" s="246"/>
      <c r="F9" s="246"/>
      <c r="G9" s="246"/>
      <c r="H9" s="246"/>
      <c r="I9" s="246"/>
      <c r="J9" s="246"/>
      <c r="K9" s="246"/>
      <c r="L9" s="246"/>
      <c r="M9" s="246"/>
      <c r="N9" s="124"/>
    </row>
    <row r="10" spans="1:34" ht="78" customHeight="1">
      <c r="B10" s="245" t="s">
        <v>12</v>
      </c>
      <c r="C10" s="246"/>
      <c r="D10" s="246"/>
      <c r="E10" s="246"/>
      <c r="F10" s="246"/>
      <c r="G10" s="246"/>
      <c r="H10" s="246"/>
      <c r="I10" s="246"/>
      <c r="J10" s="246"/>
      <c r="K10" s="246"/>
      <c r="L10" s="246"/>
      <c r="M10" s="246"/>
      <c r="N10" s="124"/>
    </row>
    <row r="11" spans="1:34" ht="37.5" customHeight="1">
      <c r="B11" s="245" t="s">
        <v>13</v>
      </c>
      <c r="C11" s="246"/>
      <c r="D11" s="246"/>
      <c r="E11" s="246"/>
      <c r="F11" s="246"/>
      <c r="G11" s="246"/>
      <c r="H11" s="246"/>
      <c r="I11" s="246"/>
      <c r="J11" s="246"/>
      <c r="K11" s="246"/>
      <c r="L11" s="246"/>
      <c r="M11" s="246"/>
      <c r="N11" s="124"/>
    </row>
    <row r="12" spans="1:34" ht="15" customHeight="1" thickBot="1">
      <c r="B12" s="233"/>
      <c r="C12" s="234"/>
      <c r="D12" s="234"/>
      <c r="E12" s="234"/>
      <c r="F12" s="234"/>
      <c r="G12" s="234"/>
      <c r="H12" s="234"/>
      <c r="I12" s="234"/>
      <c r="J12" s="234"/>
      <c r="K12" s="234"/>
      <c r="L12" s="234"/>
      <c r="M12" s="234"/>
      <c r="N12" s="150"/>
    </row>
    <row r="13" spans="1:34" ht="15.75" thickTop="1">
      <c r="B13" s="30"/>
      <c r="C13" s="30"/>
      <c r="D13" s="30"/>
      <c r="E13" s="30"/>
      <c r="F13" s="30"/>
      <c r="G13" s="30"/>
      <c r="H13" s="30"/>
      <c r="I13" s="30"/>
      <c r="J13" s="30"/>
      <c r="K13" s="30"/>
      <c r="L13" s="30"/>
      <c r="M13" s="30"/>
    </row>
    <row r="14" spans="1:34">
      <c r="B14" s="30"/>
      <c r="C14" s="30"/>
      <c r="D14" s="30"/>
      <c r="E14" s="30"/>
      <c r="F14" s="30"/>
      <c r="G14" s="30"/>
      <c r="H14" s="30"/>
      <c r="I14" s="30"/>
      <c r="J14" s="30"/>
      <c r="K14" s="30"/>
      <c r="L14" s="30"/>
      <c r="M14" s="30"/>
    </row>
    <row r="15" spans="1:34">
      <c r="B15" s="30"/>
      <c r="C15" s="30"/>
      <c r="D15" s="30"/>
      <c r="E15" s="30"/>
      <c r="F15" s="30"/>
      <c r="G15" s="30"/>
      <c r="H15" s="30"/>
      <c r="I15" s="30"/>
      <c r="J15" s="30"/>
      <c r="K15" s="30"/>
      <c r="L15" s="30"/>
      <c r="M15" s="30"/>
    </row>
    <row r="16" spans="1:34">
      <c r="B16" s="30"/>
      <c r="C16" s="30"/>
      <c r="D16" s="30"/>
      <c r="E16" s="30"/>
      <c r="F16" s="30"/>
      <c r="G16" s="30"/>
      <c r="H16" s="30"/>
      <c r="I16" s="30"/>
      <c r="J16" s="30"/>
      <c r="K16" s="30"/>
      <c r="L16" s="30"/>
      <c r="M16" s="30"/>
    </row>
    <row r="17" spans="2:13">
      <c r="B17" s="30"/>
      <c r="C17" s="30"/>
      <c r="D17" s="30"/>
      <c r="E17" s="30"/>
      <c r="F17" s="30"/>
      <c r="G17" s="30"/>
      <c r="H17" s="30"/>
      <c r="I17" s="30"/>
      <c r="J17" s="30"/>
      <c r="K17" s="30"/>
      <c r="L17" s="30"/>
      <c r="M17" s="30"/>
    </row>
    <row r="18" spans="2:13">
      <c r="B18" s="30"/>
      <c r="C18" s="30"/>
      <c r="D18" s="30"/>
      <c r="E18" s="30"/>
      <c r="F18" s="30"/>
      <c r="G18" s="30"/>
      <c r="H18" s="30"/>
      <c r="I18" s="30"/>
      <c r="J18" s="30"/>
      <c r="K18" s="30"/>
      <c r="L18" s="30"/>
      <c r="M18" s="30"/>
    </row>
    <row r="19" spans="2:13">
      <c r="B19" s="30"/>
      <c r="C19" s="30"/>
      <c r="D19" s="30"/>
      <c r="E19" s="30"/>
      <c r="F19" s="30"/>
      <c r="G19" s="30"/>
      <c r="H19" s="30"/>
      <c r="I19" s="30"/>
      <c r="J19" s="30"/>
      <c r="K19" s="30"/>
      <c r="L19" s="30"/>
      <c r="M19" s="30"/>
    </row>
    <row r="20" spans="2:13">
      <c r="B20" s="30"/>
      <c r="C20" s="30"/>
      <c r="D20" s="30"/>
      <c r="E20" s="30"/>
      <c r="F20" s="30"/>
      <c r="G20" s="30"/>
      <c r="H20" s="30"/>
      <c r="I20" s="30"/>
      <c r="J20" s="30"/>
      <c r="K20" s="30"/>
      <c r="L20" s="30"/>
      <c r="M20" s="30"/>
    </row>
    <row r="21" spans="2:13">
      <c r="B21" s="30"/>
      <c r="C21" s="30"/>
      <c r="D21" s="30"/>
      <c r="E21" s="30"/>
      <c r="F21" s="30"/>
      <c r="G21" s="30"/>
      <c r="H21" s="30"/>
      <c r="I21" s="30"/>
      <c r="J21" s="30"/>
      <c r="K21" s="30"/>
      <c r="L21" s="30"/>
      <c r="M21" s="30"/>
    </row>
    <row r="22" spans="2:13">
      <c r="B22" s="30"/>
      <c r="C22" s="30"/>
      <c r="D22" s="30"/>
      <c r="E22" s="30"/>
      <c r="F22" s="30"/>
      <c r="G22" s="30"/>
      <c r="H22" s="30"/>
      <c r="I22" s="30"/>
      <c r="J22" s="30"/>
      <c r="K22" s="30"/>
      <c r="L22" s="30"/>
      <c r="M22" s="30"/>
    </row>
    <row r="23" spans="2:13">
      <c r="B23" s="30"/>
      <c r="C23" s="30"/>
      <c r="D23" s="30"/>
      <c r="E23" s="30"/>
      <c r="F23" s="30"/>
      <c r="G23" s="30"/>
      <c r="H23" s="30"/>
      <c r="I23" s="30"/>
      <c r="J23" s="30"/>
      <c r="K23" s="30"/>
      <c r="L23" s="30"/>
      <c r="M23" s="30"/>
    </row>
    <row r="24" spans="2:13">
      <c r="B24" s="30"/>
      <c r="C24" s="30"/>
      <c r="D24" s="30"/>
      <c r="E24" s="30"/>
      <c r="F24" s="30"/>
      <c r="G24" s="30"/>
      <c r="H24" s="30"/>
      <c r="I24" s="30"/>
      <c r="J24" s="30"/>
      <c r="K24" s="30"/>
      <c r="L24" s="30"/>
      <c r="M24" s="30"/>
    </row>
    <row r="25" spans="2:13">
      <c r="B25" s="30"/>
      <c r="C25" s="30"/>
      <c r="D25" s="30"/>
      <c r="E25" s="30"/>
      <c r="F25" s="30"/>
      <c r="G25" s="30"/>
      <c r="H25" s="30"/>
      <c r="I25" s="30"/>
      <c r="J25" s="30"/>
      <c r="K25" s="30"/>
      <c r="L25" s="30"/>
      <c r="M25" s="30"/>
    </row>
    <row r="26" spans="2:13">
      <c r="B26" s="30"/>
      <c r="C26" s="30"/>
      <c r="D26" s="30"/>
      <c r="E26" s="30"/>
      <c r="F26" s="30"/>
      <c r="G26" s="30"/>
      <c r="H26" s="30"/>
      <c r="I26" s="30"/>
      <c r="J26" s="30"/>
      <c r="K26" s="30"/>
      <c r="L26" s="30"/>
      <c r="M26" s="30"/>
    </row>
    <row r="27" spans="2:13">
      <c r="B27" s="30"/>
      <c r="C27" s="30"/>
      <c r="D27" s="30"/>
      <c r="E27" s="30"/>
      <c r="F27" s="30"/>
      <c r="G27" s="30"/>
      <c r="H27" s="30"/>
      <c r="I27" s="30"/>
      <c r="J27" s="30"/>
      <c r="K27" s="30"/>
      <c r="L27" s="30"/>
      <c r="M27" s="30"/>
    </row>
    <row r="28" spans="2:13">
      <c r="B28" s="30"/>
      <c r="C28" s="30"/>
      <c r="D28" s="30"/>
      <c r="E28" s="30"/>
      <c r="F28" s="30"/>
      <c r="G28" s="30"/>
      <c r="H28" s="30"/>
      <c r="I28" s="30"/>
      <c r="J28" s="30"/>
      <c r="K28" s="30"/>
      <c r="L28" s="30"/>
      <c r="M28" s="30"/>
    </row>
    <row r="29" spans="2:13">
      <c r="B29" s="30"/>
      <c r="C29" s="30"/>
      <c r="D29" s="30"/>
      <c r="E29" s="30"/>
      <c r="F29" s="30"/>
      <c r="G29" s="30"/>
      <c r="H29" s="30"/>
      <c r="I29" s="30"/>
      <c r="J29" s="30"/>
      <c r="K29" s="30"/>
      <c r="L29" s="30"/>
      <c r="M29" s="30"/>
    </row>
    <row r="30" spans="2:13">
      <c r="B30" s="30"/>
      <c r="C30" s="30"/>
      <c r="D30" s="30"/>
      <c r="E30" s="30"/>
      <c r="F30" s="30"/>
      <c r="G30" s="30"/>
      <c r="H30" s="30"/>
      <c r="I30" s="30"/>
      <c r="J30" s="30"/>
      <c r="K30" s="30"/>
      <c r="L30" s="30"/>
      <c r="M30" s="30"/>
    </row>
    <row r="31" spans="2:13">
      <c r="B31" s="30"/>
      <c r="C31" s="30"/>
      <c r="D31" s="30"/>
      <c r="E31" s="30"/>
      <c r="F31" s="30"/>
      <c r="G31" s="30"/>
      <c r="H31" s="30"/>
      <c r="I31" s="30"/>
      <c r="J31" s="30"/>
      <c r="K31" s="30"/>
      <c r="L31" s="30"/>
      <c r="M31" s="30"/>
    </row>
    <row r="32" spans="2:13">
      <c r="B32" s="30"/>
      <c r="C32" s="30"/>
      <c r="D32" s="30"/>
      <c r="E32" s="30"/>
      <c r="F32" s="30"/>
      <c r="G32" s="30"/>
      <c r="H32" s="30"/>
      <c r="I32" s="30"/>
      <c r="J32" s="30"/>
      <c r="K32" s="30"/>
      <c r="L32" s="30"/>
      <c r="M32" s="30"/>
    </row>
    <row r="33" spans="2:13">
      <c r="B33" s="30"/>
      <c r="C33" s="30"/>
      <c r="D33" s="30"/>
      <c r="E33" s="30"/>
      <c r="F33" s="30"/>
      <c r="G33" s="30"/>
      <c r="H33" s="30"/>
      <c r="I33" s="30"/>
      <c r="J33" s="30"/>
      <c r="K33" s="30"/>
      <c r="L33" s="30"/>
      <c r="M33" s="30"/>
    </row>
    <row r="34" spans="2:13">
      <c r="B34" s="30"/>
      <c r="C34" s="30"/>
      <c r="D34" s="30"/>
      <c r="E34" s="30"/>
      <c r="F34" s="30"/>
      <c r="G34" s="30"/>
      <c r="H34" s="30"/>
      <c r="I34" s="30"/>
      <c r="J34" s="30"/>
      <c r="K34" s="30"/>
      <c r="L34" s="30"/>
      <c r="M34" s="30"/>
    </row>
    <row r="35" spans="2:13">
      <c r="B35" s="30"/>
      <c r="C35" s="30"/>
      <c r="D35" s="30"/>
      <c r="E35" s="30"/>
      <c r="F35" s="30"/>
      <c r="G35" s="30"/>
      <c r="H35" s="30"/>
      <c r="I35" s="30"/>
      <c r="J35" s="30"/>
      <c r="K35" s="30"/>
      <c r="L35" s="30"/>
      <c r="M35" s="30"/>
    </row>
    <row r="36" spans="2:13">
      <c r="B36" s="30"/>
      <c r="C36" s="30"/>
      <c r="D36" s="30"/>
      <c r="E36" s="30"/>
      <c r="F36" s="30"/>
      <c r="G36" s="30"/>
      <c r="H36" s="30"/>
      <c r="I36" s="30"/>
      <c r="J36" s="30"/>
      <c r="K36" s="30"/>
      <c r="L36" s="30"/>
      <c r="M36" s="30"/>
    </row>
    <row r="37" spans="2:13">
      <c r="B37" s="30"/>
      <c r="C37" s="30"/>
      <c r="D37" s="30"/>
      <c r="E37" s="30"/>
      <c r="F37" s="30"/>
      <c r="G37" s="30"/>
      <c r="H37" s="30"/>
      <c r="I37" s="30"/>
      <c r="J37" s="30"/>
      <c r="K37" s="30"/>
      <c r="L37" s="30"/>
      <c r="M37" s="30"/>
    </row>
    <row r="38" spans="2:13">
      <c r="B38" s="30"/>
      <c r="C38" s="30"/>
      <c r="D38" s="30"/>
      <c r="E38" s="30"/>
      <c r="F38" s="30"/>
      <c r="G38" s="30"/>
      <c r="H38" s="30"/>
      <c r="I38" s="30"/>
      <c r="J38" s="30"/>
      <c r="K38" s="30"/>
      <c r="L38" s="30"/>
      <c r="M38" s="30"/>
    </row>
    <row r="39" spans="2:13">
      <c r="B39" s="30"/>
      <c r="C39" s="30"/>
      <c r="D39" s="30"/>
      <c r="E39" s="30"/>
      <c r="F39" s="30"/>
      <c r="G39" s="30"/>
      <c r="H39" s="30"/>
      <c r="I39" s="30"/>
      <c r="J39" s="30"/>
      <c r="K39" s="30"/>
      <c r="L39" s="30"/>
      <c r="M39" s="30"/>
    </row>
    <row r="40" spans="2:13">
      <c r="B40" s="30"/>
      <c r="C40" s="30"/>
      <c r="D40" s="30"/>
      <c r="E40" s="30"/>
      <c r="F40" s="30"/>
      <c r="G40" s="30"/>
      <c r="H40" s="30"/>
      <c r="I40" s="30"/>
      <c r="J40" s="30"/>
      <c r="K40" s="30"/>
      <c r="L40" s="30"/>
      <c r="M40" s="30"/>
    </row>
    <row r="41" spans="2:13">
      <c r="B41" s="30"/>
      <c r="C41" s="30"/>
      <c r="D41" s="30"/>
      <c r="E41" s="30"/>
      <c r="F41" s="30"/>
      <c r="G41" s="30"/>
      <c r="H41" s="30"/>
      <c r="I41" s="30"/>
      <c r="J41" s="30"/>
      <c r="K41" s="30"/>
      <c r="L41" s="30"/>
      <c r="M41" s="30"/>
    </row>
    <row r="42" spans="2:13">
      <c r="B42" s="30"/>
      <c r="C42" s="30"/>
      <c r="D42" s="30"/>
      <c r="E42" s="30"/>
      <c r="F42" s="30"/>
      <c r="G42" s="30"/>
      <c r="H42" s="30"/>
      <c r="I42" s="30"/>
      <c r="J42" s="30"/>
      <c r="K42" s="30"/>
      <c r="L42" s="30"/>
      <c r="M42" s="30"/>
    </row>
    <row r="43" spans="2:13">
      <c r="B43" s="30"/>
      <c r="C43" s="30"/>
      <c r="D43" s="30"/>
      <c r="E43" s="30"/>
      <c r="F43" s="30"/>
      <c r="G43" s="30"/>
      <c r="H43" s="30"/>
      <c r="I43" s="30"/>
      <c r="J43" s="30"/>
      <c r="K43" s="30"/>
      <c r="L43" s="30"/>
      <c r="M43" s="30"/>
    </row>
    <row r="44" spans="2:13">
      <c r="B44" s="30"/>
      <c r="C44" s="30"/>
      <c r="D44" s="30"/>
      <c r="E44" s="30"/>
      <c r="F44" s="30"/>
      <c r="G44" s="30"/>
      <c r="H44" s="30"/>
      <c r="I44" s="30"/>
      <c r="J44" s="30"/>
      <c r="K44" s="30"/>
      <c r="L44" s="30"/>
      <c r="M44" s="30"/>
    </row>
    <row r="45" spans="2:13">
      <c r="B45" s="30"/>
      <c r="C45" s="30"/>
      <c r="D45" s="30"/>
      <c r="E45" s="30"/>
      <c r="F45" s="30"/>
      <c r="G45" s="30"/>
      <c r="H45" s="30"/>
      <c r="I45" s="30"/>
      <c r="J45" s="30"/>
      <c r="K45" s="30"/>
      <c r="L45" s="30"/>
      <c r="M45" s="30"/>
    </row>
    <row r="46" spans="2:13">
      <c r="B46" s="30"/>
      <c r="C46" s="30"/>
      <c r="D46" s="30"/>
      <c r="E46" s="30"/>
      <c r="F46" s="30"/>
      <c r="G46" s="30"/>
      <c r="H46" s="30"/>
      <c r="I46" s="30"/>
      <c r="J46" s="30"/>
      <c r="K46" s="30"/>
      <c r="L46" s="30"/>
      <c r="M46" s="30"/>
    </row>
    <row r="47" spans="2:13">
      <c r="B47" s="30"/>
      <c r="C47" s="30"/>
      <c r="D47" s="30"/>
      <c r="E47" s="30"/>
      <c r="F47" s="30"/>
      <c r="G47" s="30"/>
      <c r="H47" s="30"/>
      <c r="I47" s="30"/>
      <c r="J47" s="30"/>
      <c r="K47" s="30"/>
      <c r="L47" s="30"/>
      <c r="M47" s="30"/>
    </row>
    <row r="48" spans="2:13">
      <c r="B48" s="30"/>
      <c r="C48" s="30"/>
      <c r="D48" s="30"/>
      <c r="E48" s="30"/>
      <c r="F48" s="30"/>
      <c r="G48" s="30"/>
      <c r="H48" s="30"/>
      <c r="I48" s="30"/>
      <c r="J48" s="30"/>
      <c r="K48" s="30"/>
      <c r="L48" s="30"/>
      <c r="M48" s="30"/>
    </row>
    <row r="49" spans="2:13">
      <c r="B49" s="30"/>
      <c r="C49" s="30"/>
      <c r="D49" s="30"/>
      <c r="E49" s="30"/>
      <c r="F49" s="30"/>
      <c r="G49" s="30"/>
      <c r="H49" s="30"/>
      <c r="I49" s="30"/>
      <c r="J49" s="30"/>
      <c r="K49" s="30"/>
      <c r="L49" s="30"/>
      <c r="M49" s="30"/>
    </row>
    <row r="50" spans="2:13">
      <c r="B50" s="30"/>
      <c r="C50" s="30"/>
      <c r="D50" s="30"/>
      <c r="E50" s="30"/>
      <c r="F50" s="30"/>
      <c r="G50" s="30"/>
      <c r="H50" s="30"/>
      <c r="I50" s="30"/>
      <c r="J50" s="30"/>
      <c r="K50" s="30"/>
      <c r="L50" s="30"/>
      <c r="M50" s="30"/>
    </row>
    <row r="51" spans="2:13">
      <c r="B51" s="30"/>
      <c r="C51" s="30"/>
      <c r="D51" s="30"/>
      <c r="E51" s="30"/>
      <c r="F51" s="30"/>
      <c r="G51" s="30"/>
      <c r="H51" s="30"/>
      <c r="I51" s="30"/>
      <c r="J51" s="30"/>
      <c r="K51" s="30"/>
      <c r="L51" s="30"/>
      <c r="M51" s="30"/>
    </row>
    <row r="52" spans="2:13">
      <c r="B52" s="30"/>
      <c r="C52" s="30"/>
      <c r="D52" s="30"/>
      <c r="E52" s="30"/>
      <c r="F52" s="30"/>
      <c r="G52" s="30"/>
      <c r="H52" s="30"/>
      <c r="I52" s="30"/>
      <c r="J52" s="30"/>
      <c r="K52" s="30"/>
      <c r="L52" s="30"/>
      <c r="M52" s="30"/>
    </row>
    <row r="53" spans="2:13">
      <c r="B53" s="30"/>
      <c r="C53" s="30"/>
      <c r="D53" s="30"/>
      <c r="E53" s="30"/>
      <c r="F53" s="30"/>
      <c r="G53" s="30"/>
      <c r="H53" s="30"/>
      <c r="I53" s="30"/>
      <c r="J53" s="30"/>
      <c r="K53" s="30"/>
      <c r="L53" s="30"/>
      <c r="M53" s="30"/>
    </row>
    <row r="54" spans="2:13">
      <c r="B54" s="30"/>
      <c r="C54" s="30"/>
      <c r="D54" s="30"/>
      <c r="E54" s="30"/>
      <c r="F54" s="30"/>
      <c r="G54" s="30"/>
      <c r="H54" s="30"/>
      <c r="I54" s="30"/>
      <c r="J54" s="30"/>
      <c r="K54" s="30"/>
      <c r="L54" s="30"/>
      <c r="M54" s="30"/>
    </row>
    <row r="55" spans="2:13">
      <c r="B55" s="30"/>
      <c r="C55" s="30"/>
      <c r="D55" s="30"/>
      <c r="E55" s="30"/>
      <c r="F55" s="30"/>
      <c r="G55" s="30"/>
      <c r="H55" s="30"/>
      <c r="I55" s="30"/>
      <c r="J55" s="30"/>
      <c r="K55" s="30"/>
      <c r="L55" s="30"/>
      <c r="M55" s="30"/>
    </row>
    <row r="56" spans="2:13">
      <c r="B56" s="30"/>
      <c r="C56" s="30"/>
      <c r="D56" s="30"/>
      <c r="E56" s="30"/>
      <c r="F56" s="30"/>
      <c r="G56" s="30"/>
      <c r="H56" s="30"/>
      <c r="I56" s="30"/>
      <c r="J56" s="30"/>
      <c r="K56" s="30"/>
      <c r="L56" s="30"/>
      <c r="M56" s="30"/>
    </row>
    <row r="57" spans="2:13">
      <c r="B57" s="30"/>
      <c r="C57" s="30"/>
      <c r="D57" s="30"/>
      <c r="E57" s="30"/>
      <c r="F57" s="30"/>
      <c r="G57" s="30"/>
      <c r="H57" s="30"/>
      <c r="I57" s="30"/>
      <c r="J57" s="30"/>
      <c r="K57" s="30"/>
      <c r="L57" s="30"/>
      <c r="M57" s="30"/>
    </row>
    <row r="58" spans="2:13">
      <c r="B58" s="30"/>
      <c r="C58" s="30"/>
      <c r="D58" s="30"/>
      <c r="E58" s="30"/>
      <c r="F58" s="30"/>
      <c r="G58" s="30"/>
      <c r="H58" s="30"/>
      <c r="I58" s="30"/>
      <c r="J58" s="30"/>
      <c r="K58" s="30"/>
      <c r="L58" s="30"/>
      <c r="M58" s="30"/>
    </row>
    <row r="59" spans="2:13">
      <c r="B59" s="30"/>
      <c r="C59" s="30"/>
      <c r="D59" s="30"/>
      <c r="E59" s="30"/>
      <c r="F59" s="30"/>
      <c r="G59" s="30"/>
      <c r="H59" s="30"/>
      <c r="I59" s="30"/>
      <c r="J59" s="30"/>
      <c r="K59" s="30"/>
      <c r="L59" s="30"/>
      <c r="M59" s="30"/>
    </row>
    <row r="60" spans="2:13">
      <c r="B60" s="30"/>
      <c r="C60" s="30"/>
      <c r="D60" s="30"/>
      <c r="E60" s="30"/>
      <c r="F60" s="30"/>
      <c r="G60" s="30"/>
      <c r="H60" s="30"/>
      <c r="I60" s="30"/>
      <c r="J60" s="30"/>
      <c r="K60" s="30"/>
      <c r="L60" s="30"/>
      <c r="M60" s="30"/>
    </row>
    <row r="61" spans="2:13">
      <c r="B61" s="30"/>
      <c r="C61" s="30"/>
      <c r="D61" s="30"/>
      <c r="E61" s="30"/>
      <c r="F61" s="30"/>
      <c r="G61" s="30"/>
      <c r="H61" s="30"/>
      <c r="I61" s="30"/>
      <c r="J61" s="30"/>
      <c r="K61" s="30"/>
      <c r="L61" s="30"/>
      <c r="M61" s="30"/>
    </row>
    <row r="62" spans="2:13">
      <c r="B62" s="30"/>
      <c r="C62" s="30"/>
      <c r="D62" s="30"/>
      <c r="E62" s="30"/>
      <c r="F62" s="30"/>
      <c r="G62" s="30"/>
      <c r="H62" s="30"/>
      <c r="I62" s="30"/>
      <c r="J62" s="30"/>
      <c r="K62" s="30"/>
      <c r="L62" s="30"/>
      <c r="M62" s="30"/>
    </row>
    <row r="63" spans="2:13">
      <c r="B63" s="30"/>
      <c r="C63" s="30"/>
      <c r="D63" s="30"/>
      <c r="E63" s="30"/>
      <c r="F63" s="30"/>
      <c r="G63" s="30"/>
      <c r="H63" s="30"/>
      <c r="I63" s="30"/>
      <c r="J63" s="30"/>
      <c r="K63" s="30"/>
      <c r="L63" s="30"/>
      <c r="M63" s="30"/>
    </row>
    <row r="64" spans="2:13">
      <c r="B64" s="30"/>
      <c r="C64" s="30"/>
      <c r="D64" s="30"/>
      <c r="E64" s="30"/>
      <c r="F64" s="30"/>
      <c r="G64" s="30"/>
      <c r="H64" s="30"/>
      <c r="I64" s="30"/>
      <c r="J64" s="30"/>
      <c r="K64" s="30"/>
      <c r="L64" s="30"/>
      <c r="M64" s="30"/>
    </row>
    <row r="65" spans="2:13">
      <c r="B65" s="30"/>
      <c r="C65" s="30"/>
      <c r="D65" s="30"/>
      <c r="E65" s="30"/>
      <c r="F65" s="30"/>
      <c r="G65" s="30"/>
      <c r="H65" s="30"/>
      <c r="I65" s="30"/>
      <c r="J65" s="30"/>
      <c r="K65" s="30"/>
      <c r="L65" s="30"/>
      <c r="M65" s="30"/>
    </row>
    <row r="66" spans="2:13">
      <c r="B66" s="30"/>
      <c r="C66" s="30"/>
      <c r="D66" s="30"/>
      <c r="E66" s="30"/>
      <c r="F66" s="30"/>
      <c r="G66" s="30"/>
      <c r="H66" s="30"/>
      <c r="I66" s="30"/>
      <c r="J66" s="30"/>
      <c r="K66" s="30"/>
      <c r="L66" s="30"/>
      <c r="M66" s="30"/>
    </row>
    <row r="67" spans="2:13">
      <c r="B67" s="30"/>
      <c r="C67" s="30"/>
      <c r="D67" s="30"/>
      <c r="E67" s="30"/>
      <c r="F67" s="30"/>
      <c r="G67" s="30"/>
      <c r="H67" s="30"/>
      <c r="I67" s="30"/>
      <c r="J67" s="30"/>
      <c r="K67" s="30"/>
      <c r="L67" s="30"/>
      <c r="M67" s="30"/>
    </row>
    <row r="68" spans="2:13">
      <c r="B68" s="30"/>
      <c r="C68" s="30"/>
      <c r="D68" s="30"/>
      <c r="E68" s="30"/>
      <c r="F68" s="30"/>
      <c r="G68" s="30"/>
      <c r="H68" s="30"/>
      <c r="I68" s="30"/>
      <c r="J68" s="30"/>
      <c r="K68" s="30"/>
      <c r="L68" s="30"/>
      <c r="M68" s="30"/>
    </row>
    <row r="69" spans="2:13">
      <c r="B69" s="30"/>
      <c r="C69" s="30"/>
      <c r="D69" s="30"/>
      <c r="E69" s="30"/>
      <c r="F69" s="30"/>
      <c r="G69" s="30"/>
      <c r="H69" s="30"/>
      <c r="I69" s="30"/>
      <c r="J69" s="30"/>
      <c r="K69" s="30"/>
      <c r="L69" s="30"/>
      <c r="M69" s="30"/>
    </row>
    <row r="70" spans="2:13">
      <c r="B70" s="30"/>
      <c r="C70" s="30"/>
      <c r="D70" s="30"/>
      <c r="E70" s="30"/>
      <c r="F70" s="30"/>
      <c r="G70" s="30"/>
      <c r="H70" s="30"/>
      <c r="I70" s="30"/>
      <c r="J70" s="30"/>
      <c r="K70" s="30"/>
      <c r="L70" s="30"/>
      <c r="M70" s="30"/>
    </row>
    <row r="71" spans="2:13">
      <c r="B71" s="30"/>
      <c r="C71" s="30"/>
      <c r="D71" s="30"/>
      <c r="E71" s="30"/>
      <c r="F71" s="30"/>
      <c r="G71" s="30"/>
      <c r="H71" s="30"/>
      <c r="I71" s="30"/>
      <c r="J71" s="30"/>
      <c r="K71" s="30"/>
      <c r="L71" s="30"/>
      <c r="M71" s="30"/>
    </row>
    <row r="72" spans="2:13">
      <c r="B72" s="30"/>
      <c r="C72" s="30"/>
      <c r="D72" s="30"/>
      <c r="E72" s="30"/>
      <c r="F72" s="30"/>
      <c r="G72" s="30"/>
      <c r="H72" s="30"/>
      <c r="I72" s="30"/>
      <c r="J72" s="30"/>
      <c r="K72" s="30"/>
      <c r="L72" s="30"/>
      <c r="M72" s="30"/>
    </row>
    <row r="73" spans="2:13">
      <c r="B73" s="30"/>
      <c r="C73" s="30"/>
      <c r="D73" s="30"/>
      <c r="E73" s="30"/>
      <c r="F73" s="30"/>
      <c r="G73" s="30"/>
      <c r="H73" s="30"/>
      <c r="I73" s="30"/>
      <c r="J73" s="30"/>
      <c r="K73" s="30"/>
      <c r="L73" s="30"/>
      <c r="M73" s="30"/>
    </row>
    <row r="74" spans="2:13">
      <c r="B74" s="30"/>
      <c r="C74" s="30"/>
      <c r="D74" s="30"/>
      <c r="E74" s="30"/>
      <c r="F74" s="30"/>
      <c r="G74" s="30"/>
      <c r="H74" s="30"/>
      <c r="I74" s="30"/>
      <c r="J74" s="30"/>
      <c r="K74" s="30"/>
      <c r="L74" s="30"/>
      <c r="M74" s="30"/>
    </row>
    <row r="75" spans="2:13">
      <c r="B75" s="30"/>
      <c r="C75" s="30"/>
      <c r="D75" s="30"/>
      <c r="E75" s="30"/>
      <c r="F75" s="30"/>
      <c r="G75" s="30"/>
      <c r="H75" s="30"/>
      <c r="I75" s="30"/>
      <c r="J75" s="30"/>
      <c r="K75" s="30"/>
      <c r="L75" s="30"/>
      <c r="M75" s="30"/>
    </row>
    <row r="76" spans="2:13">
      <c r="B76" s="30"/>
      <c r="C76" s="30"/>
      <c r="D76" s="30"/>
      <c r="E76" s="30"/>
      <c r="F76" s="30"/>
      <c r="G76" s="30"/>
      <c r="H76" s="30"/>
      <c r="I76" s="30"/>
      <c r="J76" s="30"/>
      <c r="K76" s="30"/>
      <c r="L76" s="30"/>
      <c r="M76" s="30"/>
    </row>
    <row r="77" spans="2:13">
      <c r="B77" s="30"/>
      <c r="C77" s="30"/>
      <c r="D77" s="30"/>
      <c r="E77" s="30"/>
      <c r="F77" s="30"/>
      <c r="G77" s="30"/>
      <c r="H77" s="30"/>
      <c r="I77" s="30"/>
      <c r="J77" s="30"/>
      <c r="K77" s="30"/>
      <c r="L77" s="30"/>
      <c r="M77" s="30"/>
    </row>
    <row r="78" spans="2:13">
      <c r="B78" s="30"/>
      <c r="C78" s="30"/>
      <c r="D78" s="30"/>
      <c r="E78" s="30"/>
      <c r="F78" s="30"/>
      <c r="G78" s="30"/>
      <c r="H78" s="30"/>
      <c r="I78" s="30"/>
      <c r="J78" s="30"/>
      <c r="K78" s="30"/>
      <c r="L78" s="30"/>
      <c r="M78" s="30"/>
    </row>
    <row r="79" spans="2:13">
      <c r="B79" s="30"/>
      <c r="C79" s="30"/>
      <c r="D79" s="30"/>
      <c r="E79" s="30"/>
      <c r="F79" s="30"/>
      <c r="G79" s="30"/>
      <c r="H79" s="30"/>
      <c r="I79" s="30"/>
      <c r="J79" s="30"/>
      <c r="K79" s="30"/>
      <c r="L79" s="30"/>
      <c r="M79" s="30"/>
    </row>
    <row r="80" spans="2:13">
      <c r="B80" s="30"/>
      <c r="C80" s="30"/>
      <c r="D80" s="30"/>
      <c r="E80" s="30"/>
      <c r="F80" s="30"/>
      <c r="G80" s="30"/>
      <c r="H80" s="30"/>
      <c r="I80" s="30"/>
      <c r="J80" s="30"/>
      <c r="K80" s="30"/>
      <c r="L80" s="30"/>
      <c r="M80" s="30"/>
    </row>
    <row r="81" spans="2:13">
      <c r="B81" s="30"/>
      <c r="C81" s="30"/>
      <c r="D81" s="30"/>
      <c r="E81" s="30"/>
      <c r="F81" s="30"/>
      <c r="G81" s="30"/>
      <c r="H81" s="30"/>
      <c r="I81" s="30"/>
      <c r="J81" s="30"/>
      <c r="K81" s="30"/>
      <c r="L81" s="30"/>
      <c r="M81" s="30"/>
    </row>
    <row r="82" spans="2:13">
      <c r="B82" s="30"/>
      <c r="C82" s="30"/>
      <c r="D82" s="30"/>
      <c r="E82" s="30"/>
      <c r="F82" s="30"/>
      <c r="G82" s="30"/>
      <c r="H82" s="30"/>
      <c r="I82" s="30"/>
      <c r="J82" s="30"/>
      <c r="K82" s="30"/>
      <c r="L82" s="30"/>
      <c r="M82" s="30"/>
    </row>
    <row r="83" spans="2:13">
      <c r="B83" s="30"/>
      <c r="C83" s="30"/>
      <c r="D83" s="30"/>
      <c r="E83" s="30"/>
      <c r="F83" s="30"/>
      <c r="G83" s="30"/>
      <c r="H83" s="30"/>
      <c r="I83" s="30"/>
      <c r="J83" s="30"/>
      <c r="K83" s="30"/>
      <c r="L83" s="30"/>
      <c r="M83" s="30"/>
    </row>
    <row r="84" spans="2:13">
      <c r="B84" s="30"/>
      <c r="C84" s="30"/>
      <c r="D84" s="30"/>
      <c r="E84" s="30"/>
      <c r="F84" s="30"/>
      <c r="G84" s="30"/>
      <c r="H84" s="30"/>
      <c r="I84" s="30"/>
      <c r="J84" s="30"/>
      <c r="K84" s="30"/>
      <c r="L84" s="30"/>
      <c r="M84" s="30"/>
    </row>
    <row r="85" spans="2:13">
      <c r="B85" s="30"/>
      <c r="C85" s="30"/>
      <c r="D85" s="30"/>
      <c r="E85" s="30"/>
      <c r="F85" s="30"/>
      <c r="G85" s="30"/>
      <c r="H85" s="30"/>
      <c r="I85" s="30"/>
      <c r="J85" s="30"/>
      <c r="K85" s="30"/>
      <c r="L85" s="30"/>
      <c r="M85" s="30"/>
    </row>
    <row r="86" spans="2:13">
      <c r="B86" s="30"/>
      <c r="C86" s="30"/>
      <c r="D86" s="30"/>
      <c r="E86" s="30"/>
      <c r="F86" s="30"/>
      <c r="G86" s="30"/>
      <c r="H86" s="30"/>
      <c r="I86" s="30"/>
      <c r="J86" s="30"/>
      <c r="K86" s="30"/>
      <c r="L86" s="30"/>
      <c r="M86" s="30"/>
    </row>
    <row r="87" spans="2:13">
      <c r="B87" s="30"/>
      <c r="C87" s="30"/>
      <c r="D87" s="30"/>
      <c r="E87" s="30"/>
      <c r="F87" s="30"/>
      <c r="G87" s="30"/>
      <c r="H87" s="30"/>
      <c r="I87" s="30"/>
      <c r="J87" s="30"/>
      <c r="K87" s="30"/>
      <c r="L87" s="30"/>
      <c r="M87" s="30"/>
    </row>
    <row r="88" spans="2:13">
      <c r="B88" s="30"/>
      <c r="C88" s="30"/>
      <c r="D88" s="30"/>
      <c r="E88" s="30"/>
      <c r="F88" s="30"/>
      <c r="G88" s="30"/>
      <c r="H88" s="30"/>
      <c r="I88" s="30"/>
      <c r="J88" s="30"/>
      <c r="K88" s="30"/>
      <c r="L88" s="30"/>
      <c r="M88" s="30"/>
    </row>
    <row r="89" spans="2:13">
      <c r="B89" s="30"/>
      <c r="C89" s="30"/>
      <c r="D89" s="30"/>
      <c r="E89" s="30"/>
      <c r="F89" s="30"/>
      <c r="G89" s="30"/>
      <c r="H89" s="30"/>
      <c r="I89" s="30"/>
      <c r="J89" s="30"/>
      <c r="K89" s="30"/>
      <c r="L89" s="30"/>
      <c r="M89" s="30"/>
    </row>
    <row r="90" spans="2:13">
      <c r="B90" s="30"/>
      <c r="C90" s="30"/>
      <c r="D90" s="30"/>
      <c r="E90" s="30"/>
      <c r="F90" s="30"/>
      <c r="G90" s="30"/>
      <c r="H90" s="30"/>
      <c r="I90" s="30"/>
      <c r="J90" s="30"/>
      <c r="K90" s="30"/>
      <c r="L90" s="30"/>
      <c r="M90" s="30"/>
    </row>
    <row r="91" spans="2:13">
      <c r="B91" s="30"/>
      <c r="C91" s="30"/>
      <c r="D91" s="30"/>
      <c r="E91" s="30"/>
      <c r="F91" s="30"/>
      <c r="G91" s="30"/>
      <c r="H91" s="30"/>
      <c r="I91" s="30"/>
      <c r="J91" s="30"/>
      <c r="K91" s="30"/>
      <c r="L91" s="30"/>
      <c r="M91" s="30"/>
    </row>
    <row r="92" spans="2:13">
      <c r="B92" s="30"/>
      <c r="C92" s="30"/>
      <c r="D92" s="30"/>
      <c r="E92" s="30"/>
      <c r="F92" s="30"/>
      <c r="G92" s="30"/>
      <c r="H92" s="30"/>
      <c r="I92" s="30"/>
      <c r="J92" s="30"/>
      <c r="K92" s="30"/>
      <c r="L92" s="30"/>
      <c r="M92" s="30"/>
    </row>
    <row r="93" spans="2:13">
      <c r="B93" s="30"/>
      <c r="C93" s="30"/>
      <c r="D93" s="30"/>
      <c r="E93" s="30"/>
      <c r="F93" s="30"/>
      <c r="G93" s="30"/>
      <c r="H93" s="30"/>
      <c r="I93" s="30"/>
      <c r="J93" s="30"/>
      <c r="K93" s="30"/>
      <c r="L93" s="30"/>
      <c r="M93" s="30"/>
    </row>
    <row r="94" spans="2:13">
      <c r="B94" s="30"/>
      <c r="C94" s="30"/>
      <c r="D94" s="30"/>
      <c r="E94" s="30"/>
      <c r="F94" s="30"/>
      <c r="G94" s="30"/>
      <c r="H94" s="30"/>
      <c r="I94" s="30"/>
      <c r="J94" s="30"/>
      <c r="K94" s="30"/>
      <c r="L94" s="30"/>
      <c r="M94" s="30"/>
    </row>
    <row r="95" spans="2:13">
      <c r="B95" s="30"/>
      <c r="C95" s="30"/>
      <c r="D95" s="30"/>
      <c r="E95" s="30"/>
      <c r="F95" s="30"/>
      <c r="G95" s="30"/>
      <c r="H95" s="30"/>
      <c r="I95" s="30"/>
      <c r="J95" s="30"/>
      <c r="K95" s="30"/>
      <c r="L95" s="30"/>
      <c r="M95" s="30"/>
    </row>
    <row r="96" spans="2:13">
      <c r="B96" s="30"/>
      <c r="C96" s="30"/>
      <c r="D96" s="30"/>
      <c r="E96" s="30"/>
      <c r="F96" s="30"/>
      <c r="G96" s="30"/>
      <c r="H96" s="30"/>
      <c r="I96" s="30"/>
      <c r="J96" s="30"/>
      <c r="K96" s="30"/>
      <c r="L96" s="30"/>
      <c r="M96" s="30"/>
    </row>
    <row r="97" spans="2:13">
      <c r="B97" s="30"/>
      <c r="C97" s="30"/>
      <c r="D97" s="30"/>
      <c r="E97" s="30"/>
      <c r="F97" s="30"/>
      <c r="G97" s="30"/>
      <c r="H97" s="30"/>
      <c r="I97" s="30"/>
      <c r="J97" s="30"/>
      <c r="K97" s="30"/>
      <c r="L97" s="30"/>
      <c r="M97" s="30"/>
    </row>
  </sheetData>
  <sheetProtection algorithmName="SHA-512" hashValue="QYZk6FwtrZ9TBh1Ozsmfm49aUtStb3I8R0RBd7v4GkHgKtu0EMSL5AP2jUc2/LrWCxZ6nmx7Rx7ETO9VOIhayQ==" saltValue="wNa78+NE0mBpujk2mCLho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4"/>
  <sheetViews>
    <sheetView showRowColHeaders="0" topLeftCell="A68" zoomScaleNormal="100" workbookViewId="0">
      <selection activeCell="D88" sqref="D88:H88"/>
    </sheetView>
  </sheetViews>
  <sheetFormatPr defaultColWidth="9.140625" defaultRowHeight="15"/>
  <cols>
    <col min="1" max="2" width="9.140625" style="152"/>
    <col min="3" max="3" width="10.85546875" style="152" customWidth="1"/>
    <col min="4" max="12" width="9.140625" style="152"/>
    <col min="13" max="13" width="11.140625" style="152" customWidth="1"/>
    <col min="14" max="14" width="2" style="152" customWidth="1"/>
    <col min="15" max="16384" width="9.140625" style="152"/>
  </cols>
  <sheetData>
    <row r="3" spans="1:14" ht="12.75" customHeight="1">
      <c r="B3" s="238" t="s">
        <v>14</v>
      </c>
      <c r="C3" s="239"/>
      <c r="D3" s="239"/>
      <c r="E3" s="239"/>
      <c r="F3" s="239"/>
      <c r="G3" s="239"/>
      <c r="H3" s="239"/>
      <c r="I3" s="239"/>
      <c r="J3" s="239"/>
      <c r="K3" s="239"/>
      <c r="L3" s="239"/>
      <c r="M3" s="239"/>
      <c r="N3" s="240"/>
    </row>
    <row r="4" spans="1:14" ht="9.75" customHeight="1">
      <c r="B4" s="238"/>
      <c r="C4" s="239"/>
      <c r="D4" s="239"/>
      <c r="E4" s="239"/>
      <c r="F4" s="239"/>
      <c r="G4" s="239"/>
      <c r="H4" s="239"/>
      <c r="I4" s="239"/>
      <c r="J4" s="239"/>
      <c r="K4" s="239"/>
      <c r="L4" s="239"/>
      <c r="M4" s="239"/>
      <c r="N4" s="240"/>
    </row>
    <row r="5" spans="1:14" ht="15.75" customHeight="1" thickBot="1">
      <c r="B5" s="238"/>
      <c r="C5" s="239"/>
      <c r="D5" s="239"/>
      <c r="E5" s="239"/>
      <c r="F5" s="239"/>
      <c r="G5" s="239"/>
      <c r="H5" s="239"/>
      <c r="I5" s="239"/>
      <c r="J5" s="239"/>
      <c r="K5" s="239"/>
      <c r="L5" s="239"/>
      <c r="M5" s="239"/>
      <c r="N5" s="240"/>
    </row>
    <row r="6" spans="1:14" ht="15.75" thickTop="1">
      <c r="B6" s="125"/>
      <c r="C6" s="126"/>
      <c r="D6" s="126"/>
      <c r="E6" s="126"/>
      <c r="F6" s="126"/>
      <c r="G6" s="126"/>
      <c r="H6" s="126"/>
      <c r="I6" s="126"/>
      <c r="J6" s="126"/>
      <c r="K6" s="126"/>
      <c r="L6" s="126"/>
      <c r="M6" s="126"/>
      <c r="N6" s="151"/>
    </row>
    <row r="7" spans="1:14">
      <c r="A7" s="153"/>
      <c r="B7" s="251" t="s">
        <v>15</v>
      </c>
      <c r="C7" s="252"/>
      <c r="D7" s="252"/>
      <c r="E7" s="252"/>
      <c r="F7" s="252"/>
      <c r="G7" s="252"/>
      <c r="H7" s="252"/>
      <c r="I7" s="252"/>
      <c r="J7" s="252"/>
      <c r="K7" s="252"/>
      <c r="L7" s="252"/>
      <c r="M7" s="252"/>
      <c r="N7" s="124"/>
    </row>
    <row r="8" spans="1:14">
      <c r="B8" s="128"/>
      <c r="C8" s="127"/>
      <c r="D8" s="127"/>
      <c r="E8" s="127"/>
      <c r="F8" s="127"/>
      <c r="G8" s="127"/>
      <c r="H8" s="127"/>
      <c r="I8" s="127"/>
      <c r="J8" s="127"/>
      <c r="K8" s="127"/>
      <c r="L8" s="127"/>
      <c r="M8" s="127"/>
      <c r="N8" s="124"/>
    </row>
    <row r="9" spans="1:14">
      <c r="B9" s="128"/>
      <c r="C9" s="127"/>
      <c r="D9" s="127"/>
      <c r="E9" s="127"/>
      <c r="F9" s="127"/>
      <c r="G9" s="127"/>
      <c r="H9" s="127"/>
      <c r="I9" s="127"/>
      <c r="J9" s="127"/>
      <c r="K9" s="127"/>
      <c r="L9" s="127"/>
      <c r="M9" s="127"/>
      <c r="N9" s="124"/>
    </row>
    <row r="10" spans="1:14">
      <c r="B10" s="128"/>
      <c r="C10" s="127"/>
      <c r="D10" s="127"/>
      <c r="E10" s="127"/>
      <c r="F10" s="127"/>
      <c r="G10" s="127"/>
      <c r="H10" s="127"/>
      <c r="I10" s="127"/>
      <c r="J10" s="127"/>
      <c r="K10" s="127"/>
      <c r="L10" s="127"/>
      <c r="M10" s="127"/>
      <c r="N10" s="124"/>
    </row>
    <row r="11" spans="1:14">
      <c r="B11" s="128"/>
      <c r="C11" s="127"/>
      <c r="D11" s="127"/>
      <c r="E11" s="127"/>
      <c r="F11" s="127"/>
      <c r="G11" s="127"/>
      <c r="H11" s="127"/>
      <c r="I11" s="127"/>
      <c r="J11" s="127"/>
      <c r="K11" s="127"/>
      <c r="L11" s="127"/>
      <c r="M11" s="127"/>
      <c r="N11" s="124"/>
    </row>
    <row r="12" spans="1:14">
      <c r="B12" s="128"/>
      <c r="C12" s="127"/>
      <c r="D12" s="127"/>
      <c r="E12" s="127"/>
      <c r="F12" s="127"/>
      <c r="G12" s="127"/>
      <c r="H12" s="127"/>
      <c r="I12" s="127"/>
      <c r="J12" s="127"/>
      <c r="K12" s="127"/>
      <c r="L12" s="127"/>
      <c r="M12" s="127"/>
      <c r="N12" s="124"/>
    </row>
    <row r="13" spans="1:14">
      <c r="B13" s="128"/>
      <c r="C13" s="127"/>
      <c r="D13" s="127"/>
      <c r="E13" s="127"/>
      <c r="F13" s="127"/>
      <c r="G13" s="127"/>
      <c r="H13" s="127"/>
      <c r="I13" s="127"/>
      <c r="J13" s="127"/>
      <c r="K13" s="127"/>
      <c r="L13" s="127"/>
      <c r="M13" s="127"/>
      <c r="N13" s="124"/>
    </row>
    <row r="14" spans="1:14">
      <c r="B14" s="128"/>
      <c r="C14" s="127"/>
      <c r="D14" s="127"/>
      <c r="E14" s="127"/>
      <c r="F14" s="127"/>
      <c r="G14" s="127"/>
      <c r="H14" s="127"/>
      <c r="I14" s="127"/>
      <c r="J14" s="127"/>
      <c r="K14" s="127"/>
      <c r="L14" s="127"/>
      <c r="M14" s="127"/>
      <c r="N14" s="124"/>
    </row>
    <row r="15" spans="1:14">
      <c r="B15" s="128"/>
      <c r="C15" s="127"/>
      <c r="D15" s="127"/>
      <c r="E15" s="127"/>
      <c r="F15" s="127"/>
      <c r="G15" s="127"/>
      <c r="H15" s="127"/>
      <c r="I15" s="127"/>
      <c r="J15" s="127"/>
      <c r="K15" s="127"/>
      <c r="L15" s="127"/>
      <c r="M15" s="127"/>
      <c r="N15" s="124"/>
    </row>
    <row r="16" spans="1:14">
      <c r="B16" s="128"/>
      <c r="C16" s="127"/>
      <c r="D16" s="127"/>
      <c r="E16" s="127"/>
      <c r="F16" s="127"/>
      <c r="G16" s="127"/>
      <c r="H16" s="127"/>
      <c r="I16" s="127"/>
      <c r="J16" s="127"/>
      <c r="K16" s="127"/>
      <c r="L16" s="127"/>
      <c r="M16" s="127"/>
      <c r="N16" s="124"/>
    </row>
    <row r="17" spans="1:19">
      <c r="B17" s="128"/>
      <c r="C17" s="127"/>
      <c r="D17" s="127"/>
      <c r="E17" s="127"/>
      <c r="F17" s="127"/>
      <c r="G17" s="127"/>
      <c r="H17" s="127"/>
      <c r="I17" s="127"/>
      <c r="J17" s="127"/>
      <c r="K17" s="127"/>
      <c r="L17" s="127"/>
      <c r="M17" s="127"/>
      <c r="N17" s="124"/>
    </row>
    <row r="18" spans="1:19">
      <c r="B18" s="128"/>
      <c r="C18" s="127"/>
      <c r="D18" s="127"/>
      <c r="E18" s="127"/>
      <c r="F18" s="127"/>
      <c r="G18" s="127"/>
      <c r="H18" s="127"/>
      <c r="I18" s="127"/>
      <c r="J18" s="127"/>
      <c r="K18" s="127"/>
      <c r="L18" s="127"/>
      <c r="M18" s="127"/>
      <c r="N18" s="124"/>
    </row>
    <row r="19" spans="1:19">
      <c r="B19" s="128"/>
      <c r="C19" s="127"/>
      <c r="D19" s="127"/>
      <c r="E19" s="127"/>
      <c r="F19" s="127"/>
      <c r="G19" s="127"/>
      <c r="H19" s="127"/>
      <c r="I19" s="127"/>
      <c r="J19" s="127"/>
      <c r="K19" s="127"/>
      <c r="L19" s="127"/>
      <c r="M19" s="127"/>
      <c r="N19" s="124"/>
    </row>
    <row r="20" spans="1:19" ht="18">
      <c r="A20" s="153"/>
      <c r="B20" s="129" t="s">
        <v>16</v>
      </c>
      <c r="C20" s="127"/>
      <c r="D20" s="127"/>
      <c r="E20" s="127"/>
      <c r="F20" s="127"/>
      <c r="G20" s="127"/>
      <c r="H20" s="127"/>
      <c r="I20" s="127"/>
      <c r="J20" s="127"/>
      <c r="K20" s="127"/>
      <c r="L20" s="127"/>
      <c r="M20" s="127"/>
      <c r="N20" s="124"/>
    </row>
    <row r="21" spans="1:19">
      <c r="B21" s="128"/>
      <c r="C21" s="127"/>
      <c r="D21" s="127"/>
      <c r="E21" s="127"/>
      <c r="F21" s="127"/>
      <c r="G21" s="127"/>
      <c r="H21" s="127"/>
      <c r="I21" s="127"/>
      <c r="J21" s="127"/>
      <c r="K21" s="127"/>
      <c r="L21" s="127"/>
      <c r="M21" s="127"/>
      <c r="N21" s="124"/>
    </row>
    <row r="22" spans="1:19">
      <c r="B22" s="128"/>
      <c r="C22" s="141" t="s">
        <v>17</v>
      </c>
      <c r="D22" s="127"/>
      <c r="E22" s="127"/>
      <c r="F22" s="127"/>
      <c r="G22" s="127"/>
      <c r="H22" s="127"/>
      <c r="I22" s="127"/>
      <c r="J22" s="127"/>
      <c r="K22" s="127"/>
      <c r="L22" s="127"/>
      <c r="M22" s="127"/>
      <c r="N22" s="124"/>
    </row>
    <row r="23" spans="1:19">
      <c r="B23" s="128"/>
      <c r="C23" s="130"/>
      <c r="D23" s="142" t="s">
        <v>18</v>
      </c>
      <c r="E23" s="127"/>
      <c r="F23" s="127"/>
      <c r="G23" s="127"/>
      <c r="H23" s="127"/>
      <c r="I23" s="127"/>
      <c r="J23" s="127"/>
      <c r="K23" s="127"/>
      <c r="L23" s="127"/>
      <c r="M23" s="127"/>
      <c r="N23" s="124"/>
    </row>
    <row r="24" spans="1:19">
      <c r="B24" s="128"/>
      <c r="C24" s="132"/>
      <c r="D24" s="142" t="s">
        <v>19</v>
      </c>
      <c r="E24" s="127"/>
      <c r="F24" s="127"/>
      <c r="G24" s="127"/>
      <c r="H24" s="127"/>
      <c r="I24" s="127"/>
      <c r="J24" s="127"/>
      <c r="K24" s="127"/>
      <c r="L24" s="127"/>
      <c r="M24" s="127"/>
      <c r="N24" s="124"/>
    </row>
    <row r="25" spans="1:19" ht="16.5">
      <c r="B25" s="128"/>
      <c r="C25" s="133"/>
      <c r="D25" s="142" t="s">
        <v>20</v>
      </c>
      <c r="E25" s="127"/>
      <c r="F25" s="127"/>
      <c r="G25" s="127"/>
      <c r="H25" s="127"/>
      <c r="I25" s="127"/>
      <c r="J25" s="127"/>
      <c r="K25" s="127"/>
      <c r="L25" s="127"/>
      <c r="M25" s="127"/>
      <c r="N25" s="124"/>
      <c r="S25" s="157"/>
    </row>
    <row r="26" spans="1:19" ht="16.5">
      <c r="B26" s="128"/>
      <c r="C26" s="127"/>
      <c r="D26" s="127"/>
      <c r="E26" s="127"/>
      <c r="F26" s="127"/>
      <c r="G26" s="127"/>
      <c r="H26" s="127"/>
      <c r="I26" s="127"/>
      <c r="J26" s="127"/>
      <c r="K26" s="127"/>
      <c r="L26" s="127"/>
      <c r="M26" s="127"/>
      <c r="N26" s="124"/>
      <c r="S26" s="158"/>
    </row>
    <row r="27" spans="1:19" ht="16.5">
      <c r="A27" s="153"/>
      <c r="B27" s="251" t="s">
        <v>21</v>
      </c>
      <c r="C27" s="252"/>
      <c r="D27" s="252"/>
      <c r="E27" s="252"/>
      <c r="F27" s="252"/>
      <c r="G27" s="252"/>
      <c r="H27" s="252"/>
      <c r="I27" s="252"/>
      <c r="J27" s="252"/>
      <c r="K27" s="252"/>
      <c r="L27" s="252"/>
      <c r="M27" s="252"/>
      <c r="N27" s="124"/>
      <c r="S27" s="157"/>
    </row>
    <row r="28" spans="1:19" ht="9.75" customHeight="1">
      <c r="B28" s="128"/>
      <c r="C28" s="127"/>
      <c r="D28" s="127"/>
      <c r="E28" s="127"/>
      <c r="F28" s="127"/>
      <c r="G28" s="127"/>
      <c r="H28" s="127"/>
      <c r="I28" s="127"/>
      <c r="J28" s="127"/>
      <c r="K28" s="127"/>
      <c r="L28" s="127"/>
      <c r="M28" s="127"/>
      <c r="N28" s="124"/>
      <c r="S28" s="157"/>
    </row>
    <row r="29" spans="1:19">
      <c r="B29" s="128"/>
      <c r="C29" s="127"/>
      <c r="D29" s="127"/>
      <c r="E29" s="127"/>
      <c r="F29" s="127"/>
      <c r="G29" s="127"/>
      <c r="H29" s="127"/>
      <c r="I29" s="127"/>
      <c r="J29" s="127"/>
      <c r="K29" s="127"/>
      <c r="L29" s="127"/>
      <c r="M29" s="127"/>
      <c r="N29" s="124"/>
    </row>
    <row r="30" spans="1:19">
      <c r="B30" s="128"/>
      <c r="C30" s="127"/>
      <c r="D30" s="127"/>
      <c r="E30" s="127"/>
      <c r="F30" s="127"/>
      <c r="G30" s="127"/>
      <c r="H30" s="127"/>
      <c r="I30" s="127"/>
      <c r="J30" s="127"/>
      <c r="K30" s="127"/>
      <c r="L30" s="127"/>
      <c r="M30" s="127"/>
      <c r="N30" s="124"/>
    </row>
    <row r="31" spans="1:19">
      <c r="B31" s="128"/>
      <c r="C31" s="127"/>
      <c r="D31" s="127"/>
      <c r="E31" s="127"/>
      <c r="F31" s="127"/>
      <c r="G31" s="127"/>
      <c r="H31" s="127"/>
      <c r="I31" s="127"/>
      <c r="J31" s="127"/>
      <c r="K31" s="127"/>
      <c r="L31" s="127"/>
      <c r="M31" s="127"/>
      <c r="N31" s="124"/>
    </row>
    <row r="32" spans="1:19">
      <c r="B32" s="128"/>
      <c r="C32" s="127"/>
      <c r="D32" s="127"/>
      <c r="E32" s="127"/>
      <c r="F32" s="127"/>
      <c r="G32" s="127"/>
      <c r="H32" s="127"/>
      <c r="I32" s="127"/>
      <c r="J32" s="127"/>
      <c r="K32" s="127"/>
      <c r="L32" s="127"/>
      <c r="M32" s="127"/>
      <c r="N32" s="124"/>
    </row>
    <row r="33" spans="1:14">
      <c r="B33" s="128"/>
      <c r="C33" s="127"/>
      <c r="D33" s="127"/>
      <c r="E33" s="127"/>
      <c r="F33" s="127"/>
      <c r="G33" s="127"/>
      <c r="H33" s="127"/>
      <c r="I33" s="127"/>
      <c r="J33" s="127"/>
      <c r="K33" s="127"/>
      <c r="L33" s="127"/>
      <c r="M33" s="127"/>
      <c r="N33" s="124"/>
    </row>
    <row r="34" spans="1:14">
      <c r="B34" s="128"/>
      <c r="C34" s="127"/>
      <c r="D34" s="127"/>
      <c r="E34" s="127"/>
      <c r="F34" s="127"/>
      <c r="G34" s="127"/>
      <c r="H34" s="127"/>
      <c r="I34" s="127"/>
      <c r="J34" s="127"/>
      <c r="K34" s="127"/>
      <c r="L34" s="127"/>
      <c r="M34" s="127"/>
      <c r="N34" s="124"/>
    </row>
    <row r="35" spans="1:14">
      <c r="B35" s="128"/>
      <c r="C35" s="127"/>
      <c r="D35" s="127"/>
      <c r="E35" s="127"/>
      <c r="F35" s="127"/>
      <c r="G35" s="127"/>
      <c r="H35" s="127"/>
      <c r="I35" s="127"/>
      <c r="J35" s="127"/>
      <c r="K35" s="127"/>
      <c r="L35" s="127"/>
      <c r="M35" s="127"/>
      <c r="N35" s="124"/>
    </row>
    <row r="36" spans="1:14" ht="42.75" customHeight="1">
      <c r="B36" s="128"/>
      <c r="C36" s="127"/>
      <c r="D36" s="127"/>
      <c r="E36" s="127"/>
      <c r="F36" s="127"/>
      <c r="G36" s="127"/>
      <c r="H36" s="127"/>
      <c r="I36" s="127"/>
      <c r="J36" s="127"/>
      <c r="K36" s="127"/>
      <c r="L36" s="127"/>
      <c r="M36" s="127"/>
      <c r="N36" s="124"/>
    </row>
    <row r="37" spans="1:14" ht="31.5" customHeight="1">
      <c r="A37" s="153"/>
      <c r="B37" s="248" t="s">
        <v>22</v>
      </c>
      <c r="C37" s="248"/>
      <c r="D37" s="248"/>
      <c r="E37" s="248"/>
      <c r="F37" s="248"/>
      <c r="G37" s="248"/>
      <c r="H37" s="248"/>
      <c r="I37" s="248"/>
      <c r="J37" s="248"/>
      <c r="K37" s="248"/>
      <c r="L37" s="248"/>
      <c r="M37" s="248"/>
      <c r="N37" s="124"/>
    </row>
    <row r="38" spans="1:14">
      <c r="B38" s="128"/>
      <c r="C38" s="127"/>
      <c r="D38" s="127"/>
      <c r="E38" s="127"/>
      <c r="F38" s="127"/>
      <c r="G38" s="127"/>
      <c r="H38" s="127"/>
      <c r="I38" s="127"/>
      <c r="J38" s="127"/>
      <c r="K38" s="127"/>
      <c r="L38" s="127"/>
      <c r="M38" s="127"/>
      <c r="N38" s="124"/>
    </row>
    <row r="39" spans="1:14">
      <c r="B39" s="137" t="s">
        <v>23</v>
      </c>
      <c r="C39" s="131"/>
      <c r="D39" s="131"/>
      <c r="E39" s="131"/>
      <c r="F39" s="131"/>
      <c r="G39" s="131"/>
      <c r="H39" s="131"/>
      <c r="I39" s="131"/>
      <c r="J39" s="131"/>
      <c r="K39" s="131"/>
      <c r="L39" s="131"/>
      <c r="M39" s="131"/>
      <c r="N39" s="124"/>
    </row>
    <row r="40" spans="1:14" ht="72" customHeight="1">
      <c r="A40" s="153"/>
      <c r="B40" s="248" t="s">
        <v>24</v>
      </c>
      <c r="C40" s="248"/>
      <c r="D40" s="248"/>
      <c r="E40" s="248"/>
      <c r="F40" s="248"/>
      <c r="G40" s="248"/>
      <c r="H40" s="248"/>
      <c r="I40" s="248"/>
      <c r="J40" s="248"/>
      <c r="K40" s="248"/>
      <c r="L40" s="248"/>
      <c r="M40" s="248"/>
      <c r="N40" s="124"/>
    </row>
    <row r="41" spans="1:14" ht="12.75" customHeight="1">
      <c r="A41" s="153"/>
      <c r="B41" s="131"/>
      <c r="C41" s="131"/>
      <c r="D41" s="131"/>
      <c r="E41" s="131"/>
      <c r="F41" s="131"/>
      <c r="G41" s="131"/>
      <c r="H41" s="131"/>
      <c r="I41" s="131"/>
      <c r="J41" s="131"/>
      <c r="K41" s="131"/>
      <c r="L41" s="131"/>
      <c r="M41" s="131"/>
      <c r="N41" s="124"/>
    </row>
    <row r="42" spans="1:14" ht="18">
      <c r="A42" s="153"/>
      <c r="B42" s="138" t="s">
        <v>25</v>
      </c>
      <c r="C42" s="131"/>
      <c r="D42" s="131"/>
      <c r="E42" s="131"/>
      <c r="F42" s="131"/>
      <c r="G42" s="131"/>
      <c r="H42" s="131"/>
      <c r="I42" s="131"/>
      <c r="J42" s="131"/>
      <c r="K42" s="131"/>
      <c r="L42" s="131"/>
      <c r="M42" s="131"/>
      <c r="N42" s="124"/>
    </row>
    <row r="43" spans="1:14">
      <c r="A43" s="153"/>
      <c r="B43" s="131"/>
      <c r="C43" s="131"/>
      <c r="D43" s="131"/>
      <c r="E43" s="131"/>
      <c r="F43" s="131"/>
      <c r="G43" s="131"/>
      <c r="H43" s="131"/>
      <c r="I43" s="131"/>
      <c r="J43" s="131"/>
      <c r="K43" s="131"/>
      <c r="L43" s="131"/>
      <c r="M43" s="131"/>
      <c r="N43" s="124"/>
    </row>
    <row r="44" spans="1:14">
      <c r="A44" s="153"/>
      <c r="B44" s="253" t="s">
        <v>26</v>
      </c>
      <c r="C44" s="254"/>
      <c r="D44" s="254"/>
      <c r="E44" s="254"/>
      <c r="F44" s="254"/>
      <c r="G44" s="254"/>
      <c r="H44" s="254"/>
      <c r="I44" s="254"/>
      <c r="J44" s="254"/>
      <c r="K44" s="254"/>
      <c r="L44" s="254"/>
      <c r="M44" s="254"/>
      <c r="N44" s="124"/>
    </row>
    <row r="45" spans="1:14" ht="9" customHeight="1">
      <c r="A45" s="153"/>
      <c r="B45" s="131"/>
      <c r="C45" s="131"/>
      <c r="D45" s="131"/>
      <c r="E45" s="131"/>
      <c r="F45" s="131"/>
      <c r="G45" s="131"/>
      <c r="H45" s="131"/>
      <c r="I45" s="131"/>
      <c r="J45" s="131"/>
      <c r="K45" s="131"/>
      <c r="L45" s="131"/>
      <c r="M45" s="131"/>
      <c r="N45" s="124"/>
    </row>
    <row r="46" spans="1:14">
      <c r="A46" s="153"/>
      <c r="B46" s="255" t="s">
        <v>27</v>
      </c>
      <c r="C46" s="256"/>
      <c r="D46" s="256"/>
      <c r="E46" s="256"/>
      <c r="F46" s="256"/>
      <c r="G46" s="256"/>
      <c r="H46" s="256"/>
      <c r="I46" s="256"/>
      <c r="J46" s="256"/>
      <c r="K46" s="256"/>
      <c r="L46" s="256"/>
      <c r="M46" s="256"/>
      <c r="N46" s="124"/>
    </row>
    <row r="47" spans="1:14" ht="45" customHeight="1">
      <c r="A47" s="153"/>
      <c r="B47" s="264" t="s">
        <v>28</v>
      </c>
      <c r="C47" s="264"/>
      <c r="D47" s="264"/>
      <c r="E47" s="264"/>
      <c r="F47" s="264"/>
      <c r="G47" s="264"/>
      <c r="H47" s="264"/>
      <c r="I47" s="264"/>
      <c r="J47" s="264"/>
      <c r="K47" s="264"/>
      <c r="L47" s="264"/>
      <c r="M47" s="264"/>
      <c r="N47" s="124"/>
    </row>
    <row r="48" spans="1:14" ht="43.5" customHeight="1">
      <c r="A48" s="153"/>
      <c r="B48" s="264" t="s">
        <v>29</v>
      </c>
      <c r="C48" s="264"/>
      <c r="D48" s="264"/>
      <c r="E48" s="264"/>
      <c r="F48" s="264"/>
      <c r="G48" s="264"/>
      <c r="H48" s="264"/>
      <c r="I48" s="264"/>
      <c r="J48" s="264"/>
      <c r="K48" s="264"/>
      <c r="L48" s="264"/>
      <c r="M48" s="264"/>
      <c r="N48" s="124"/>
    </row>
    <row r="49" spans="1:14" ht="15.75" customHeight="1">
      <c r="A49" s="153"/>
      <c r="B49" s="264" t="s">
        <v>30</v>
      </c>
      <c r="C49" s="264"/>
      <c r="D49" s="264"/>
      <c r="E49" s="264"/>
      <c r="F49" s="264"/>
      <c r="G49" s="264"/>
      <c r="H49" s="264"/>
      <c r="I49" s="264"/>
      <c r="J49" s="264"/>
      <c r="K49" s="264"/>
      <c r="L49" s="264"/>
      <c r="M49" s="264"/>
      <c r="N49" s="124"/>
    </row>
    <row r="50" spans="1:14" ht="15.75" customHeight="1">
      <c r="A50" s="153"/>
      <c r="B50" s="264" t="s">
        <v>31</v>
      </c>
      <c r="C50" s="264"/>
      <c r="D50" s="264"/>
      <c r="E50" s="264"/>
      <c r="F50" s="264"/>
      <c r="G50" s="264"/>
      <c r="H50" s="264"/>
      <c r="I50" s="264"/>
      <c r="J50" s="264"/>
      <c r="K50" s="264"/>
      <c r="L50" s="264"/>
      <c r="M50" s="264"/>
      <c r="N50" s="124"/>
    </row>
    <row r="51" spans="1:14" ht="90" customHeight="1">
      <c r="A51" s="153"/>
      <c r="B51" s="264" t="s">
        <v>32</v>
      </c>
      <c r="C51" s="264"/>
      <c r="D51" s="264"/>
      <c r="E51" s="264"/>
      <c r="F51" s="264"/>
      <c r="G51" s="264"/>
      <c r="H51" s="264"/>
      <c r="I51" s="264"/>
      <c r="J51" s="264"/>
      <c r="K51" s="264"/>
      <c r="L51" s="264"/>
      <c r="M51" s="264"/>
      <c r="N51" s="124"/>
    </row>
    <row r="52" spans="1:14" ht="33.75" customHeight="1">
      <c r="B52" s="249" t="s">
        <v>33</v>
      </c>
      <c r="C52" s="250"/>
      <c r="D52" s="250"/>
      <c r="E52" s="250"/>
      <c r="F52" s="250"/>
      <c r="G52" s="250"/>
      <c r="H52" s="250"/>
      <c r="I52" s="250"/>
      <c r="J52" s="250"/>
      <c r="K52" s="250"/>
      <c r="L52" s="250"/>
      <c r="M52" s="250"/>
      <c r="N52" s="124"/>
    </row>
    <row r="53" spans="1:14" ht="46.5" customHeight="1">
      <c r="B53" s="257" t="s">
        <v>34</v>
      </c>
      <c r="C53" s="258"/>
      <c r="D53" s="258"/>
      <c r="E53" s="258"/>
      <c r="F53" s="258"/>
      <c r="G53" s="258"/>
      <c r="H53" s="258"/>
      <c r="I53" s="258"/>
      <c r="J53" s="258"/>
      <c r="K53" s="258"/>
      <c r="L53" s="258"/>
      <c r="M53" s="258"/>
      <c r="N53" s="124"/>
    </row>
    <row r="54" spans="1:14" ht="61.5" customHeight="1">
      <c r="B54" s="257" t="s">
        <v>35</v>
      </c>
      <c r="C54" s="258"/>
      <c r="D54" s="258"/>
      <c r="E54" s="258"/>
      <c r="F54" s="258"/>
      <c r="G54" s="258"/>
      <c r="H54" s="258"/>
      <c r="I54" s="258"/>
      <c r="J54" s="258"/>
      <c r="K54" s="258"/>
      <c r="L54" s="258"/>
      <c r="M54" s="258"/>
      <c r="N54" s="124"/>
    </row>
    <row r="55" spans="1:14">
      <c r="B55" s="255" t="s">
        <v>36</v>
      </c>
      <c r="C55" s="256"/>
      <c r="D55" s="256"/>
      <c r="E55" s="256"/>
      <c r="F55" s="256"/>
      <c r="G55" s="256"/>
      <c r="H55" s="256"/>
      <c r="I55" s="256"/>
      <c r="J55" s="256"/>
      <c r="K55" s="256"/>
      <c r="L55" s="256"/>
      <c r="M55" s="256"/>
      <c r="N55" s="124"/>
    </row>
    <row r="56" spans="1:14">
      <c r="B56" s="134"/>
      <c r="C56" s="131"/>
      <c r="D56" s="131"/>
      <c r="E56" s="131"/>
      <c r="F56" s="131"/>
      <c r="G56" s="131"/>
      <c r="H56" s="131"/>
      <c r="I56" s="131"/>
      <c r="J56" s="131"/>
      <c r="K56" s="131"/>
      <c r="L56" s="131"/>
      <c r="M56" s="131"/>
      <c r="N56" s="124"/>
    </row>
    <row r="57" spans="1:14" ht="33" customHeight="1">
      <c r="B57" s="249" t="s">
        <v>37</v>
      </c>
      <c r="C57" s="250"/>
      <c r="D57" s="250"/>
      <c r="E57" s="250"/>
      <c r="F57" s="250"/>
      <c r="G57" s="250"/>
      <c r="H57" s="250"/>
      <c r="I57" s="250"/>
      <c r="J57" s="250"/>
      <c r="K57" s="250"/>
      <c r="L57" s="250"/>
      <c r="M57" s="250"/>
      <c r="N57" s="124"/>
    </row>
    <row r="58" spans="1:14">
      <c r="B58" s="134" t="s">
        <v>38</v>
      </c>
      <c r="C58" s="131"/>
      <c r="D58" s="131"/>
      <c r="E58" s="131"/>
      <c r="F58" s="131"/>
      <c r="G58" s="131"/>
      <c r="H58" s="131"/>
      <c r="I58" s="131"/>
      <c r="J58" s="131"/>
      <c r="K58" s="131"/>
      <c r="L58" s="131"/>
      <c r="M58" s="131"/>
      <c r="N58" s="124"/>
    </row>
    <row r="59" spans="1:14" ht="47.25" customHeight="1">
      <c r="B59" s="257" t="s">
        <v>39</v>
      </c>
      <c r="C59" s="258"/>
      <c r="D59" s="258"/>
      <c r="E59" s="258"/>
      <c r="F59" s="258"/>
      <c r="G59" s="258"/>
      <c r="H59" s="258"/>
      <c r="I59" s="258"/>
      <c r="J59" s="258"/>
      <c r="K59" s="258"/>
      <c r="L59" s="258"/>
      <c r="M59" s="258"/>
      <c r="N59" s="124"/>
    </row>
    <row r="60" spans="1:14">
      <c r="B60" s="134" t="s">
        <v>40</v>
      </c>
      <c r="C60" s="131"/>
      <c r="D60" s="131"/>
      <c r="E60" s="131"/>
      <c r="F60" s="131"/>
      <c r="G60" s="131"/>
      <c r="H60" s="131"/>
      <c r="I60" s="131"/>
      <c r="J60" s="131"/>
      <c r="K60" s="131"/>
      <c r="L60" s="131"/>
      <c r="M60" s="131"/>
      <c r="N60" s="124"/>
    </row>
    <row r="61" spans="1:14">
      <c r="B61" s="134"/>
      <c r="C61" s="131"/>
      <c r="D61" s="131"/>
      <c r="E61" s="131"/>
      <c r="F61" s="131"/>
      <c r="G61" s="131"/>
      <c r="H61" s="131"/>
      <c r="I61" s="131"/>
      <c r="J61" s="131"/>
      <c r="K61" s="131"/>
      <c r="L61" s="131"/>
      <c r="M61" s="131"/>
      <c r="N61" s="124"/>
    </row>
    <row r="62" spans="1:14" ht="33" customHeight="1">
      <c r="B62" s="249" t="s">
        <v>41</v>
      </c>
      <c r="C62" s="250"/>
      <c r="D62" s="250"/>
      <c r="E62" s="250"/>
      <c r="F62" s="250"/>
      <c r="G62" s="250"/>
      <c r="H62" s="250"/>
      <c r="I62" s="250"/>
      <c r="J62" s="250"/>
      <c r="K62" s="250"/>
      <c r="L62" s="250"/>
      <c r="M62" s="250"/>
      <c r="N62" s="124"/>
    </row>
    <row r="63" spans="1:14">
      <c r="B63" s="255" t="s">
        <v>42</v>
      </c>
      <c r="C63" s="256"/>
      <c r="D63" s="256"/>
      <c r="E63" s="256"/>
      <c r="F63" s="256"/>
      <c r="G63" s="256"/>
      <c r="H63" s="256"/>
      <c r="I63" s="256"/>
      <c r="J63" s="256"/>
      <c r="K63" s="256"/>
      <c r="L63" s="256"/>
      <c r="M63" s="256"/>
      <c r="N63" s="124"/>
    </row>
    <row r="64" spans="1:14">
      <c r="B64" s="255" t="s">
        <v>43</v>
      </c>
      <c r="C64" s="256"/>
      <c r="D64" s="256"/>
      <c r="E64" s="256"/>
      <c r="F64" s="256"/>
      <c r="G64" s="256"/>
      <c r="H64" s="256"/>
      <c r="I64" s="256"/>
      <c r="J64" s="256"/>
      <c r="K64" s="256"/>
      <c r="L64" s="256"/>
      <c r="M64" s="256"/>
      <c r="N64" s="124"/>
    </row>
    <row r="65" spans="2:14" ht="32.25" customHeight="1">
      <c r="B65" s="257" t="s">
        <v>44</v>
      </c>
      <c r="C65" s="258"/>
      <c r="D65" s="258"/>
      <c r="E65" s="258"/>
      <c r="F65" s="258"/>
      <c r="G65" s="258"/>
      <c r="H65" s="258"/>
      <c r="I65" s="258"/>
      <c r="J65" s="258"/>
      <c r="K65" s="258"/>
      <c r="L65" s="258"/>
      <c r="M65" s="258"/>
      <c r="N65" s="124"/>
    </row>
    <row r="66" spans="2:14" ht="16.5" customHeight="1">
      <c r="B66" s="139"/>
      <c r="C66" s="140"/>
      <c r="D66" s="140"/>
      <c r="E66" s="140"/>
      <c r="F66" s="140"/>
      <c r="G66" s="140"/>
      <c r="H66" s="140"/>
      <c r="I66" s="140"/>
      <c r="J66" s="140"/>
      <c r="K66" s="140"/>
      <c r="L66" s="140"/>
      <c r="M66" s="140"/>
      <c r="N66" s="124"/>
    </row>
    <row r="67" spans="2:14">
      <c r="B67" s="249" t="s">
        <v>45</v>
      </c>
      <c r="C67" s="250"/>
      <c r="D67" s="250"/>
      <c r="E67" s="250"/>
      <c r="F67" s="250"/>
      <c r="G67" s="250"/>
      <c r="H67" s="250"/>
      <c r="I67" s="250"/>
      <c r="J67" s="250"/>
      <c r="K67" s="250"/>
      <c r="L67" s="250"/>
      <c r="M67" s="250"/>
      <c r="N67" s="124"/>
    </row>
    <row r="68" spans="2:14" ht="32.25" customHeight="1">
      <c r="B68" s="139"/>
      <c r="C68" s="140"/>
      <c r="D68" s="140"/>
      <c r="E68" s="140"/>
      <c r="F68" s="140"/>
      <c r="G68" s="140"/>
      <c r="H68" s="140"/>
      <c r="I68" s="140"/>
      <c r="J68" s="140"/>
      <c r="K68" s="140"/>
      <c r="L68" s="140"/>
      <c r="M68" s="140"/>
      <c r="N68" s="124"/>
    </row>
    <row r="69" spans="2:14" ht="32.25" customHeight="1">
      <c r="B69" s="139"/>
      <c r="C69" s="140"/>
      <c r="D69" s="140"/>
      <c r="E69" s="140"/>
      <c r="F69" s="140"/>
      <c r="G69" s="140"/>
      <c r="H69" s="140"/>
      <c r="I69" s="140"/>
      <c r="J69" s="140"/>
      <c r="K69" s="140"/>
      <c r="L69" s="140"/>
      <c r="M69" s="140"/>
      <c r="N69" s="124"/>
    </row>
    <row r="70" spans="2:14" ht="32.25" customHeight="1">
      <c r="B70" s="139"/>
      <c r="C70" s="140"/>
      <c r="D70" s="140"/>
      <c r="E70" s="140"/>
      <c r="F70" s="140"/>
      <c r="G70" s="140"/>
      <c r="H70" s="140"/>
      <c r="I70" s="140"/>
      <c r="J70" s="140"/>
      <c r="K70" s="140"/>
      <c r="L70" s="140"/>
      <c r="M70" s="140"/>
      <c r="N70" s="124"/>
    </row>
    <row r="71" spans="2:14" ht="32.25" customHeight="1">
      <c r="B71" s="139"/>
      <c r="C71" s="140"/>
      <c r="D71" s="140"/>
      <c r="E71" s="140"/>
      <c r="F71" s="140"/>
      <c r="G71" s="140"/>
      <c r="H71" s="140"/>
      <c r="I71" s="140"/>
      <c r="J71" s="140"/>
      <c r="K71" s="140"/>
      <c r="L71" s="140"/>
      <c r="M71" s="140"/>
      <c r="N71" s="124"/>
    </row>
    <row r="72" spans="2:14" ht="32.25" customHeight="1">
      <c r="B72" s="139"/>
      <c r="C72" s="140"/>
      <c r="D72" s="140"/>
      <c r="E72" s="140"/>
      <c r="F72" s="140"/>
      <c r="G72" s="140"/>
      <c r="H72" s="140"/>
      <c r="I72" s="140"/>
      <c r="J72" s="140"/>
      <c r="K72" s="140"/>
      <c r="L72" s="140"/>
      <c r="M72" s="140"/>
      <c r="N72" s="124"/>
    </row>
    <row r="73" spans="2:14" ht="18">
      <c r="B73" s="259" t="s">
        <v>46</v>
      </c>
      <c r="C73" s="260"/>
      <c r="D73" s="260"/>
      <c r="E73" s="260"/>
      <c r="F73" s="260"/>
      <c r="G73" s="260"/>
      <c r="H73" s="260"/>
      <c r="I73" s="260"/>
      <c r="J73" s="260"/>
      <c r="K73" s="260"/>
      <c r="L73" s="260"/>
      <c r="M73" s="260"/>
      <c r="N73" s="124"/>
    </row>
    <row r="74" spans="2:14">
      <c r="B74" s="134"/>
      <c r="C74" s="131"/>
      <c r="D74" s="131"/>
      <c r="E74" s="131"/>
      <c r="F74" s="131"/>
      <c r="G74" s="131"/>
      <c r="H74" s="131"/>
      <c r="I74" s="131"/>
      <c r="J74" s="131"/>
      <c r="K74" s="131"/>
      <c r="L74" s="131"/>
      <c r="M74" s="131"/>
      <c r="N74" s="124"/>
    </row>
    <row r="75" spans="2:14">
      <c r="B75" s="249" t="s">
        <v>47</v>
      </c>
      <c r="C75" s="250"/>
      <c r="D75" s="250"/>
      <c r="E75" s="250"/>
      <c r="F75" s="250"/>
      <c r="G75" s="250"/>
      <c r="H75" s="250"/>
      <c r="I75" s="250"/>
      <c r="J75" s="250"/>
      <c r="K75" s="250"/>
      <c r="L75" s="250"/>
      <c r="M75" s="250"/>
      <c r="N75" s="261"/>
    </row>
    <row r="76" spans="2:14">
      <c r="B76" s="134" t="s">
        <v>48</v>
      </c>
      <c r="C76" s="131"/>
      <c r="D76" s="262" t="s">
        <v>49</v>
      </c>
      <c r="E76" s="262"/>
      <c r="F76" s="262"/>
      <c r="G76" s="262"/>
      <c r="H76" s="262"/>
      <c r="I76" s="262"/>
      <c r="J76" s="131"/>
      <c r="K76" s="131"/>
      <c r="L76" s="131"/>
      <c r="M76" s="131"/>
      <c r="N76" s="124"/>
    </row>
    <row r="77" spans="2:14" ht="27.75" customHeight="1">
      <c r="B77" s="257" t="s">
        <v>50</v>
      </c>
      <c r="C77" s="258"/>
      <c r="D77" s="258"/>
      <c r="E77" s="258"/>
      <c r="F77" s="258"/>
      <c r="G77" s="258"/>
      <c r="H77" s="258"/>
      <c r="I77" s="258"/>
      <c r="J77" s="258"/>
      <c r="K77" s="258"/>
      <c r="L77" s="258"/>
      <c r="M77" s="258"/>
      <c r="N77" s="124"/>
    </row>
    <row r="78" spans="2:14" ht="29.25" customHeight="1">
      <c r="B78" s="257" t="s">
        <v>51</v>
      </c>
      <c r="C78" s="258"/>
      <c r="D78" s="258"/>
      <c r="E78" s="258"/>
      <c r="F78" s="258"/>
      <c r="G78" s="258"/>
      <c r="H78" s="258"/>
      <c r="I78" s="258"/>
      <c r="J78" s="258"/>
      <c r="K78" s="258"/>
      <c r="L78" s="258"/>
      <c r="M78" s="258"/>
      <c r="N78" s="124"/>
    </row>
    <row r="79" spans="2:14">
      <c r="B79" s="134" t="s">
        <v>52</v>
      </c>
      <c r="C79" s="131"/>
      <c r="D79" s="131"/>
      <c r="E79" s="131"/>
      <c r="F79" s="131"/>
      <c r="G79" s="131"/>
      <c r="H79" s="131"/>
      <c r="I79" s="131"/>
      <c r="J79" s="131"/>
      <c r="K79" s="131"/>
      <c r="L79" s="131"/>
      <c r="M79" s="131"/>
      <c r="N79" s="124"/>
    </row>
    <row r="80" spans="2:14">
      <c r="B80" s="134"/>
      <c r="C80" s="131"/>
      <c r="D80" s="131"/>
      <c r="E80" s="131"/>
      <c r="F80" s="131"/>
      <c r="G80" s="131"/>
      <c r="H80" s="131"/>
      <c r="I80" s="131"/>
      <c r="J80" s="131"/>
      <c r="K80" s="131"/>
      <c r="L80" s="131"/>
      <c r="M80" s="131"/>
      <c r="N80" s="124"/>
    </row>
    <row r="81" spans="2:14">
      <c r="B81" s="249" t="s">
        <v>53</v>
      </c>
      <c r="C81" s="250"/>
      <c r="D81" s="250"/>
      <c r="E81" s="250"/>
      <c r="F81" s="250"/>
      <c r="G81" s="250"/>
      <c r="H81" s="250"/>
      <c r="I81" s="250"/>
      <c r="J81" s="250"/>
      <c r="K81" s="250"/>
      <c r="L81" s="250"/>
      <c r="M81" s="250"/>
      <c r="N81" s="261"/>
    </row>
    <row r="82" spans="2:14">
      <c r="B82" s="134" t="s">
        <v>54</v>
      </c>
      <c r="C82" s="131"/>
      <c r="D82" s="263" t="s">
        <v>55</v>
      </c>
      <c r="E82" s="263"/>
      <c r="F82" s="263"/>
      <c r="G82" s="263"/>
      <c r="H82" s="263"/>
      <c r="I82" s="131"/>
      <c r="J82" s="131"/>
      <c r="K82" s="131"/>
      <c r="L82" s="131"/>
      <c r="M82" s="131"/>
      <c r="N82" s="124"/>
    </row>
    <row r="83" spans="2:14" ht="58.5" customHeight="1">
      <c r="B83" s="257" t="s">
        <v>56</v>
      </c>
      <c r="C83" s="258"/>
      <c r="D83" s="258"/>
      <c r="E83" s="258"/>
      <c r="F83" s="258"/>
      <c r="G83" s="258"/>
      <c r="H83" s="258"/>
      <c r="I83" s="258"/>
      <c r="J83" s="258"/>
      <c r="K83" s="258"/>
      <c r="L83" s="258"/>
      <c r="M83" s="258"/>
      <c r="N83" s="124"/>
    </row>
    <row r="84" spans="2:14">
      <c r="B84" s="134" t="s">
        <v>57</v>
      </c>
      <c r="C84" s="131"/>
      <c r="D84" s="131"/>
      <c r="E84" s="131"/>
      <c r="F84" s="131"/>
      <c r="G84" s="131"/>
      <c r="H84" s="131"/>
      <c r="I84" s="131"/>
      <c r="J84" s="131"/>
      <c r="K84" s="131"/>
      <c r="L84" s="131"/>
      <c r="M84" s="131"/>
      <c r="N84" s="124"/>
    </row>
    <row r="85" spans="2:14">
      <c r="B85" s="134" t="s">
        <v>58</v>
      </c>
      <c r="C85" s="131"/>
      <c r="D85" s="131"/>
      <c r="E85" s="131"/>
      <c r="F85" s="131"/>
      <c r="G85" s="131"/>
      <c r="H85" s="131"/>
      <c r="I85" s="131"/>
      <c r="J85" s="131"/>
      <c r="K85" s="131"/>
      <c r="L85" s="131"/>
      <c r="M85" s="131"/>
      <c r="N85" s="124"/>
    </row>
    <row r="86" spans="2:14">
      <c r="B86" s="134"/>
      <c r="C86" s="131"/>
      <c r="D86" s="131"/>
      <c r="E86" s="131"/>
      <c r="F86" s="131"/>
      <c r="G86" s="131"/>
      <c r="H86" s="131"/>
      <c r="I86" s="131"/>
      <c r="J86" s="131"/>
      <c r="K86" s="131"/>
      <c r="L86" s="131"/>
      <c r="M86" s="131"/>
      <c r="N86" s="124"/>
    </row>
    <row r="87" spans="2:14" ht="31.5" customHeight="1">
      <c r="B87" s="249" t="s">
        <v>59</v>
      </c>
      <c r="C87" s="250"/>
      <c r="D87" s="250"/>
      <c r="E87" s="250"/>
      <c r="F87" s="250"/>
      <c r="G87" s="250"/>
      <c r="H87" s="250"/>
      <c r="I87" s="250"/>
      <c r="J87" s="250"/>
      <c r="K87" s="250"/>
      <c r="L87" s="250"/>
      <c r="M87" s="250"/>
      <c r="N87" s="124"/>
    </row>
    <row r="88" spans="2:14">
      <c r="B88" s="134" t="s">
        <v>48</v>
      </c>
      <c r="C88" s="131"/>
      <c r="D88" s="262" t="s">
        <v>60</v>
      </c>
      <c r="E88" s="262"/>
      <c r="F88" s="262"/>
      <c r="G88" s="262"/>
      <c r="H88" s="262"/>
      <c r="I88" s="131"/>
      <c r="J88" s="131"/>
      <c r="K88" s="131"/>
      <c r="L88" s="131"/>
      <c r="M88" s="131"/>
      <c r="N88" s="124"/>
    </row>
    <row r="89" spans="2:14">
      <c r="B89" s="134" t="s">
        <v>61</v>
      </c>
      <c r="C89" s="131"/>
      <c r="D89" s="131"/>
      <c r="E89" s="131"/>
      <c r="F89" s="131"/>
      <c r="G89" s="131"/>
      <c r="H89" s="131"/>
      <c r="I89" s="131"/>
      <c r="J89" s="131"/>
      <c r="K89" s="131"/>
      <c r="L89" s="131"/>
      <c r="M89" s="131"/>
      <c r="N89" s="124"/>
    </row>
    <row r="90" spans="2:14" ht="28.5" customHeight="1">
      <c r="B90" s="257" t="s">
        <v>62</v>
      </c>
      <c r="C90" s="258"/>
      <c r="D90" s="258"/>
      <c r="E90" s="258"/>
      <c r="F90" s="258"/>
      <c r="G90" s="258"/>
      <c r="H90" s="258"/>
      <c r="I90" s="258"/>
      <c r="J90" s="258"/>
      <c r="K90" s="258"/>
      <c r="L90" s="258"/>
      <c r="M90" s="258"/>
      <c r="N90" s="124"/>
    </row>
    <row r="91" spans="2:14" ht="30" customHeight="1">
      <c r="B91" s="257" t="s">
        <v>63</v>
      </c>
      <c r="C91" s="258"/>
      <c r="D91" s="258"/>
      <c r="E91" s="258"/>
      <c r="F91" s="258"/>
      <c r="G91" s="258"/>
      <c r="H91" s="258"/>
      <c r="I91" s="258"/>
      <c r="J91" s="258"/>
      <c r="K91" s="258"/>
      <c r="L91" s="258"/>
      <c r="M91" s="258"/>
      <c r="N91" s="124"/>
    </row>
    <row r="92" spans="2:14" ht="33.75" customHeight="1">
      <c r="B92" s="257" t="s">
        <v>64</v>
      </c>
      <c r="C92" s="258"/>
      <c r="D92" s="258"/>
      <c r="E92" s="258"/>
      <c r="F92" s="258"/>
      <c r="G92" s="258"/>
      <c r="H92" s="258"/>
      <c r="I92" s="258"/>
      <c r="J92" s="258"/>
      <c r="K92" s="258"/>
      <c r="L92" s="258"/>
      <c r="M92" s="258"/>
      <c r="N92" s="124"/>
    </row>
    <row r="93" spans="2:14">
      <c r="B93" s="134"/>
      <c r="C93" s="131"/>
      <c r="D93" s="131"/>
      <c r="E93" s="131"/>
      <c r="F93" s="131"/>
      <c r="G93" s="131"/>
      <c r="H93" s="131"/>
      <c r="I93" s="131"/>
      <c r="J93" s="131"/>
      <c r="K93" s="131"/>
      <c r="L93" s="131"/>
      <c r="M93" s="131"/>
      <c r="N93" s="124"/>
    </row>
    <row r="94" spans="2:14">
      <c r="B94" s="249" t="s">
        <v>65</v>
      </c>
      <c r="C94" s="250"/>
      <c r="D94" s="250"/>
      <c r="E94" s="250"/>
      <c r="F94" s="250"/>
      <c r="G94" s="250"/>
      <c r="H94" s="250"/>
      <c r="I94" s="250"/>
      <c r="J94" s="250"/>
      <c r="K94" s="250"/>
      <c r="L94" s="250"/>
      <c r="M94" s="250"/>
      <c r="N94" s="261"/>
    </row>
    <row r="95" spans="2:14">
      <c r="B95" s="134" t="s">
        <v>66</v>
      </c>
      <c r="C95" s="131"/>
      <c r="D95" s="262" t="s">
        <v>67</v>
      </c>
      <c r="E95" s="262"/>
      <c r="F95" s="262"/>
      <c r="G95" s="262"/>
      <c r="H95" s="262"/>
      <c r="I95" s="262"/>
      <c r="J95" s="262"/>
      <c r="K95" s="131"/>
      <c r="L95" s="131"/>
      <c r="M95" s="131"/>
      <c r="N95" s="124"/>
    </row>
    <row r="96" spans="2:14">
      <c r="B96" s="255" t="s">
        <v>68</v>
      </c>
      <c r="C96" s="256"/>
      <c r="D96" s="256"/>
      <c r="E96" s="256"/>
      <c r="F96" s="256"/>
      <c r="G96" s="256"/>
      <c r="H96" s="256"/>
      <c r="I96" s="256"/>
      <c r="J96" s="256"/>
      <c r="K96" s="256"/>
      <c r="L96" s="256"/>
      <c r="M96" s="256"/>
      <c r="N96" s="124"/>
    </row>
    <row r="97" spans="2:14" ht="18.75" customHeight="1">
      <c r="B97" s="257" t="s">
        <v>69</v>
      </c>
      <c r="C97" s="258"/>
      <c r="D97" s="258"/>
      <c r="E97" s="258"/>
      <c r="F97" s="258"/>
      <c r="G97" s="258"/>
      <c r="H97" s="258"/>
      <c r="I97" s="258"/>
      <c r="J97" s="258"/>
      <c r="K97" s="258"/>
      <c r="L97" s="258"/>
      <c r="M97" s="258"/>
      <c r="N97" s="124"/>
    </row>
    <row r="98" spans="2:14">
      <c r="B98" s="255" t="s">
        <v>70</v>
      </c>
      <c r="C98" s="256"/>
      <c r="D98" s="256"/>
      <c r="E98" s="256"/>
      <c r="F98" s="256"/>
      <c r="G98" s="256"/>
      <c r="H98" s="256"/>
      <c r="I98" s="256"/>
      <c r="J98" s="256"/>
      <c r="K98" s="256"/>
      <c r="L98" s="256"/>
      <c r="M98" s="256"/>
      <c r="N98" s="124"/>
    </row>
    <row r="99" spans="2:14" ht="15.75" thickBot="1">
      <c r="B99" s="135"/>
      <c r="C99" s="136"/>
      <c r="D99" s="136"/>
      <c r="E99" s="136"/>
      <c r="F99" s="136"/>
      <c r="G99" s="136"/>
      <c r="H99" s="136"/>
      <c r="I99" s="136"/>
      <c r="J99" s="136"/>
      <c r="K99" s="136"/>
      <c r="L99" s="136"/>
      <c r="M99" s="136"/>
      <c r="N99" s="124"/>
    </row>
    <row r="100" spans="2:14" ht="15.75" thickTop="1">
      <c r="B100" s="154"/>
      <c r="C100" s="155"/>
      <c r="D100" s="155"/>
      <c r="E100" s="155"/>
      <c r="F100" s="155"/>
      <c r="G100" s="155"/>
      <c r="H100" s="155"/>
      <c r="I100" s="155"/>
      <c r="J100" s="155"/>
      <c r="K100" s="155"/>
      <c r="L100" s="155"/>
      <c r="M100" s="155"/>
      <c r="N100" s="156"/>
    </row>
    <row r="101" spans="2:14">
      <c r="B101" s="155"/>
      <c r="C101" s="155"/>
      <c r="D101" s="155"/>
      <c r="E101" s="155"/>
      <c r="F101" s="155"/>
      <c r="G101" s="155"/>
      <c r="H101" s="155"/>
      <c r="I101" s="155"/>
      <c r="J101" s="155"/>
      <c r="K101" s="155"/>
      <c r="L101" s="155"/>
      <c r="M101" s="155"/>
    </row>
    <row r="102" spans="2:14">
      <c r="B102" s="155"/>
      <c r="C102" s="155"/>
      <c r="D102" s="155"/>
      <c r="E102" s="155"/>
      <c r="F102" s="155"/>
      <c r="G102" s="155"/>
      <c r="H102" s="155"/>
      <c r="I102" s="155"/>
      <c r="J102" s="155"/>
      <c r="K102" s="155"/>
      <c r="L102" s="155"/>
      <c r="M102" s="155"/>
    </row>
    <row r="103" spans="2:14">
      <c r="B103" s="155"/>
      <c r="C103" s="155"/>
      <c r="D103" s="155"/>
      <c r="E103" s="155"/>
      <c r="F103" s="155"/>
      <c r="G103" s="155"/>
      <c r="H103" s="155"/>
      <c r="I103" s="155"/>
      <c r="J103" s="155"/>
      <c r="K103" s="155"/>
      <c r="L103" s="155"/>
      <c r="M103" s="155"/>
    </row>
    <row r="104" spans="2:14">
      <c r="B104" s="155"/>
      <c r="C104" s="155"/>
      <c r="D104" s="155"/>
      <c r="E104" s="155"/>
      <c r="F104" s="155"/>
      <c r="G104" s="155"/>
      <c r="H104" s="155"/>
      <c r="I104" s="155"/>
      <c r="J104" s="155"/>
      <c r="K104" s="155"/>
      <c r="L104" s="155"/>
      <c r="M104" s="155"/>
    </row>
    <row r="105" spans="2:14">
      <c r="B105" s="155"/>
      <c r="C105" s="155"/>
      <c r="D105" s="155"/>
      <c r="E105" s="155"/>
      <c r="F105" s="155"/>
      <c r="G105" s="155"/>
      <c r="H105" s="155"/>
      <c r="I105" s="155"/>
      <c r="J105" s="155"/>
      <c r="K105" s="155"/>
      <c r="L105" s="155"/>
      <c r="M105" s="155"/>
    </row>
    <row r="106" spans="2:14">
      <c r="B106" s="155"/>
      <c r="C106" s="155"/>
      <c r="D106" s="155"/>
      <c r="E106" s="155"/>
      <c r="F106" s="155"/>
      <c r="G106" s="155"/>
      <c r="H106" s="155"/>
      <c r="I106" s="155"/>
      <c r="J106" s="155"/>
      <c r="K106" s="155"/>
      <c r="L106" s="155"/>
      <c r="M106" s="155"/>
    </row>
    <row r="107" spans="2:14">
      <c r="B107" s="155"/>
      <c r="C107" s="155"/>
      <c r="D107" s="155"/>
      <c r="E107" s="155"/>
      <c r="F107" s="155"/>
      <c r="G107" s="155"/>
      <c r="H107" s="155"/>
      <c r="I107" s="155"/>
      <c r="J107" s="155"/>
      <c r="K107" s="155"/>
      <c r="L107" s="155"/>
      <c r="M107" s="155"/>
    </row>
    <row r="108" spans="2:14">
      <c r="B108" s="155"/>
      <c r="C108" s="155"/>
      <c r="D108" s="155"/>
      <c r="E108" s="155"/>
      <c r="F108" s="155"/>
      <c r="G108" s="155"/>
      <c r="H108" s="155"/>
      <c r="I108" s="155"/>
      <c r="J108" s="155"/>
      <c r="K108" s="155"/>
      <c r="L108" s="155"/>
      <c r="M108" s="155"/>
    </row>
    <row r="109" spans="2:14">
      <c r="B109" s="155"/>
      <c r="C109" s="155"/>
      <c r="D109" s="155"/>
      <c r="E109" s="155"/>
      <c r="F109" s="155"/>
      <c r="G109" s="155"/>
      <c r="H109" s="155"/>
      <c r="I109" s="155"/>
      <c r="J109" s="155"/>
      <c r="K109" s="155"/>
      <c r="L109" s="155"/>
      <c r="M109" s="155"/>
    </row>
    <row r="110" spans="2:14">
      <c r="B110" s="155"/>
      <c r="C110" s="155"/>
      <c r="D110" s="155"/>
      <c r="E110" s="155"/>
      <c r="F110" s="155"/>
      <c r="G110" s="155"/>
      <c r="H110" s="155"/>
      <c r="I110" s="155"/>
      <c r="J110" s="155"/>
      <c r="K110" s="155"/>
      <c r="L110" s="155"/>
      <c r="M110" s="155"/>
    </row>
    <row r="111" spans="2:14">
      <c r="B111" s="155"/>
      <c r="C111" s="155"/>
      <c r="D111" s="155"/>
      <c r="E111" s="155"/>
      <c r="F111" s="155"/>
      <c r="G111" s="155"/>
      <c r="H111" s="155"/>
      <c r="I111" s="155"/>
      <c r="J111" s="155"/>
      <c r="K111" s="155"/>
      <c r="L111" s="155"/>
      <c r="M111" s="155"/>
    </row>
    <row r="112" spans="2:14">
      <c r="B112" s="155"/>
      <c r="C112" s="155"/>
      <c r="D112" s="155"/>
      <c r="E112" s="155"/>
      <c r="F112" s="155"/>
      <c r="G112" s="155"/>
      <c r="H112" s="155"/>
      <c r="I112" s="155"/>
      <c r="J112" s="155"/>
      <c r="K112" s="155"/>
      <c r="L112" s="155"/>
      <c r="M112" s="155"/>
    </row>
    <row r="113" spans="2:13">
      <c r="B113" s="155"/>
      <c r="C113" s="155"/>
      <c r="D113" s="155"/>
      <c r="E113" s="155"/>
      <c r="F113" s="155"/>
      <c r="G113" s="155"/>
      <c r="H113" s="155"/>
      <c r="I113" s="155"/>
      <c r="J113" s="155"/>
      <c r="K113" s="155"/>
      <c r="L113" s="155"/>
      <c r="M113" s="155"/>
    </row>
    <row r="114" spans="2:13">
      <c r="B114" s="155"/>
      <c r="C114" s="155"/>
      <c r="D114" s="155"/>
      <c r="E114" s="155"/>
      <c r="F114" s="155"/>
      <c r="G114" s="155"/>
      <c r="H114" s="155"/>
      <c r="I114" s="155"/>
      <c r="J114" s="155"/>
      <c r="K114" s="155"/>
      <c r="L114" s="155"/>
      <c r="M114" s="155"/>
    </row>
    <row r="115" spans="2:13">
      <c r="B115" s="155"/>
      <c r="C115" s="155"/>
      <c r="D115" s="155"/>
      <c r="E115" s="155"/>
      <c r="F115" s="155"/>
      <c r="G115" s="155"/>
      <c r="H115" s="155"/>
      <c r="I115" s="155"/>
      <c r="J115" s="155"/>
      <c r="K115" s="155"/>
      <c r="L115" s="155"/>
      <c r="M115" s="155"/>
    </row>
    <row r="116" spans="2:13">
      <c r="B116" s="155"/>
      <c r="C116" s="155"/>
      <c r="D116" s="155"/>
      <c r="E116" s="155"/>
      <c r="F116" s="155"/>
      <c r="G116" s="155"/>
      <c r="H116" s="155"/>
      <c r="I116" s="155"/>
      <c r="J116" s="155"/>
      <c r="K116" s="155"/>
      <c r="L116" s="155"/>
      <c r="M116" s="155"/>
    </row>
    <row r="117" spans="2:13">
      <c r="B117" s="155"/>
      <c r="C117" s="155"/>
      <c r="D117" s="155"/>
      <c r="E117" s="155"/>
      <c r="F117" s="155"/>
      <c r="G117" s="155"/>
      <c r="H117" s="155"/>
      <c r="I117" s="155"/>
      <c r="J117" s="155"/>
      <c r="K117" s="155"/>
      <c r="L117" s="155"/>
      <c r="M117" s="155"/>
    </row>
    <row r="118" spans="2:13">
      <c r="B118" s="155"/>
      <c r="C118" s="155"/>
      <c r="D118" s="155"/>
      <c r="E118" s="155"/>
      <c r="F118" s="155"/>
      <c r="G118" s="155"/>
      <c r="H118" s="155"/>
      <c r="I118" s="155"/>
      <c r="J118" s="155"/>
      <c r="K118" s="155"/>
      <c r="L118" s="155"/>
      <c r="M118" s="155"/>
    </row>
    <row r="119" spans="2:13">
      <c r="B119" s="155"/>
      <c r="C119" s="155"/>
      <c r="D119" s="155"/>
      <c r="E119" s="155"/>
      <c r="F119" s="155"/>
      <c r="G119" s="155"/>
      <c r="H119" s="155"/>
      <c r="I119" s="155"/>
      <c r="J119" s="155"/>
      <c r="K119" s="155"/>
      <c r="L119" s="155"/>
      <c r="M119" s="155"/>
    </row>
    <row r="120" spans="2:13">
      <c r="B120" s="155"/>
      <c r="C120" s="155"/>
      <c r="D120" s="155"/>
      <c r="E120" s="155"/>
      <c r="F120" s="155"/>
      <c r="G120" s="155"/>
      <c r="H120" s="155"/>
      <c r="I120" s="155"/>
      <c r="J120" s="155"/>
      <c r="K120" s="155"/>
      <c r="L120" s="155"/>
      <c r="M120" s="155"/>
    </row>
    <row r="121" spans="2:13">
      <c r="B121" s="155"/>
      <c r="C121" s="155"/>
      <c r="D121" s="155"/>
      <c r="E121" s="155"/>
      <c r="F121" s="155"/>
      <c r="G121" s="155"/>
      <c r="H121" s="155"/>
      <c r="I121" s="155"/>
      <c r="J121" s="155"/>
      <c r="K121" s="155"/>
      <c r="L121" s="155"/>
      <c r="M121" s="155"/>
    </row>
    <row r="122" spans="2:13">
      <c r="B122" s="155"/>
      <c r="C122" s="155"/>
      <c r="D122" s="155"/>
      <c r="E122" s="155"/>
      <c r="F122" s="155"/>
      <c r="G122" s="155"/>
      <c r="H122" s="155"/>
      <c r="I122" s="155"/>
      <c r="J122" s="155"/>
      <c r="K122" s="155"/>
      <c r="L122" s="155"/>
      <c r="M122" s="155"/>
    </row>
    <row r="123" spans="2:13">
      <c r="B123" s="155"/>
      <c r="C123" s="155"/>
      <c r="D123" s="155"/>
      <c r="E123" s="155"/>
      <c r="F123" s="155"/>
      <c r="G123" s="155"/>
      <c r="H123" s="155"/>
      <c r="I123" s="155"/>
      <c r="J123" s="155"/>
      <c r="K123" s="155"/>
      <c r="L123" s="155"/>
      <c r="M123" s="155"/>
    </row>
    <row r="124" spans="2:13">
      <c r="B124" s="155"/>
      <c r="C124" s="155"/>
      <c r="D124" s="155"/>
      <c r="E124" s="155"/>
      <c r="F124" s="155"/>
      <c r="G124" s="155"/>
      <c r="H124" s="155"/>
      <c r="I124" s="155"/>
      <c r="J124" s="155"/>
      <c r="K124" s="155"/>
      <c r="L124" s="155"/>
      <c r="M124" s="155"/>
    </row>
    <row r="125" spans="2:13">
      <c r="B125" s="155"/>
      <c r="C125" s="155"/>
      <c r="D125" s="155"/>
      <c r="E125" s="155"/>
      <c r="F125" s="155"/>
      <c r="G125" s="155"/>
      <c r="H125" s="155"/>
      <c r="I125" s="155"/>
      <c r="J125" s="155"/>
      <c r="K125" s="155"/>
      <c r="L125" s="155"/>
      <c r="M125" s="155"/>
    </row>
    <row r="126" spans="2:13">
      <c r="B126" s="155"/>
      <c r="C126" s="155"/>
      <c r="D126" s="155"/>
      <c r="E126" s="155"/>
      <c r="F126" s="155"/>
      <c r="G126" s="155"/>
      <c r="H126" s="155"/>
      <c r="I126" s="155"/>
      <c r="J126" s="155"/>
      <c r="K126" s="155"/>
      <c r="L126" s="155"/>
      <c r="M126" s="155"/>
    </row>
    <row r="127" spans="2:13">
      <c r="B127" s="155"/>
      <c r="C127" s="155"/>
      <c r="D127" s="155"/>
      <c r="E127" s="155"/>
      <c r="F127" s="155"/>
      <c r="G127" s="155"/>
      <c r="H127" s="155"/>
      <c r="I127" s="155"/>
      <c r="J127" s="155"/>
      <c r="K127" s="155"/>
      <c r="L127" s="155"/>
      <c r="M127" s="155"/>
    </row>
    <row r="128" spans="2:13">
      <c r="B128" s="155"/>
      <c r="C128" s="155"/>
      <c r="D128" s="155"/>
      <c r="E128" s="155"/>
      <c r="F128" s="155"/>
      <c r="G128" s="155"/>
      <c r="H128" s="155"/>
      <c r="I128" s="155"/>
      <c r="J128" s="155"/>
      <c r="K128" s="155"/>
      <c r="L128" s="155"/>
      <c r="M128" s="155"/>
    </row>
    <row r="129" spans="2:13">
      <c r="B129" s="155"/>
      <c r="C129" s="155"/>
      <c r="D129" s="155"/>
      <c r="E129" s="155"/>
      <c r="F129" s="155"/>
      <c r="G129" s="155"/>
      <c r="H129" s="155"/>
      <c r="I129" s="155"/>
      <c r="J129" s="155"/>
      <c r="K129" s="155"/>
      <c r="L129" s="155"/>
      <c r="M129" s="155"/>
    </row>
    <row r="130" spans="2:13">
      <c r="B130" s="155"/>
      <c r="C130" s="155"/>
      <c r="D130" s="155"/>
      <c r="E130" s="155"/>
      <c r="F130" s="155"/>
      <c r="G130" s="155"/>
      <c r="H130" s="155"/>
      <c r="I130" s="155"/>
      <c r="J130" s="155"/>
      <c r="K130" s="155"/>
      <c r="L130" s="155"/>
      <c r="M130" s="155"/>
    </row>
    <row r="131" spans="2:13">
      <c r="B131" s="155"/>
      <c r="C131" s="155"/>
      <c r="D131" s="155"/>
      <c r="E131" s="155"/>
      <c r="F131" s="155"/>
      <c r="G131" s="155"/>
      <c r="H131" s="155"/>
      <c r="I131" s="155"/>
      <c r="J131" s="155"/>
      <c r="K131" s="155"/>
      <c r="L131" s="155"/>
      <c r="M131" s="155"/>
    </row>
    <row r="132" spans="2:13">
      <c r="B132" s="155"/>
      <c r="C132" s="155"/>
      <c r="D132" s="155"/>
      <c r="E132" s="155"/>
      <c r="F132" s="155"/>
      <c r="G132" s="155"/>
      <c r="H132" s="155"/>
      <c r="I132" s="155"/>
      <c r="J132" s="155"/>
      <c r="K132" s="155"/>
      <c r="L132" s="155"/>
      <c r="M132" s="155"/>
    </row>
    <row r="133" spans="2:13">
      <c r="B133" s="155"/>
      <c r="C133" s="155"/>
      <c r="D133" s="155"/>
      <c r="E133" s="155"/>
      <c r="F133" s="155"/>
      <c r="G133" s="155"/>
      <c r="H133" s="155"/>
      <c r="I133" s="155"/>
      <c r="J133" s="155"/>
      <c r="K133" s="155"/>
      <c r="L133" s="155"/>
      <c r="M133" s="155"/>
    </row>
    <row r="134" spans="2:13">
      <c r="B134" s="155"/>
      <c r="C134" s="155"/>
      <c r="D134" s="155"/>
      <c r="E134" s="155"/>
      <c r="F134" s="155"/>
      <c r="G134" s="155"/>
      <c r="H134" s="155"/>
      <c r="I134" s="155"/>
      <c r="J134" s="155"/>
      <c r="K134" s="155"/>
      <c r="L134" s="155"/>
      <c r="M134" s="155"/>
    </row>
  </sheetData>
  <sheetProtection algorithmName="SHA-512" hashValue="Mef+hIQs5B6o78QKBgrqW97bKiJDpOkdHLmIHLc5//Zz+fVBphQ/o+aOPMedmQq3aFfiWrgJsLabujNev7jQmw==" saltValue="PMTyuN1u25esci1cgp3eqA==" spinCount="100000" sheet="1" objects="1" scenarios="1"/>
  <mergeCells count="41">
    <mergeCell ref="B77:M77"/>
    <mergeCell ref="B78:M78"/>
    <mergeCell ref="B47:M47"/>
    <mergeCell ref="B48:M48"/>
    <mergeCell ref="B49:M49"/>
    <mergeCell ref="B51:M51"/>
    <mergeCell ref="B67:M67"/>
    <mergeCell ref="B62:M62"/>
    <mergeCell ref="B65:M65"/>
    <mergeCell ref="B50:M50"/>
    <mergeCell ref="B98:M98"/>
    <mergeCell ref="B97:M97"/>
    <mergeCell ref="B96:M96"/>
    <mergeCell ref="B92:M92"/>
    <mergeCell ref="B91:M91"/>
    <mergeCell ref="B94:N94"/>
    <mergeCell ref="D95:J95"/>
    <mergeCell ref="B90:M90"/>
    <mergeCell ref="B87:M87"/>
    <mergeCell ref="B52:M52"/>
    <mergeCell ref="B53:M53"/>
    <mergeCell ref="B54:M54"/>
    <mergeCell ref="B55:M55"/>
    <mergeCell ref="B59:M59"/>
    <mergeCell ref="B63:M63"/>
    <mergeCell ref="B64:M64"/>
    <mergeCell ref="B73:M73"/>
    <mergeCell ref="B81:N81"/>
    <mergeCell ref="B75:N75"/>
    <mergeCell ref="D76:I76"/>
    <mergeCell ref="D82:H82"/>
    <mergeCell ref="D88:H88"/>
    <mergeCell ref="B83:M83"/>
    <mergeCell ref="B37:M37"/>
    <mergeCell ref="B40:M40"/>
    <mergeCell ref="B57:M57"/>
    <mergeCell ref="B3:N5"/>
    <mergeCell ref="B7:M7"/>
    <mergeCell ref="B27:M27"/>
    <mergeCell ref="B44:M44"/>
    <mergeCell ref="B46:M46"/>
  </mergeCells>
  <hyperlinks>
    <hyperlink ref="D76" r:id="rId1" xr:uid="{29617B0C-6638-4DA5-983E-6AE74AFB2173}"/>
    <hyperlink ref="D82" r:id="rId2" location="." xr:uid="{6D62559A-BC37-45DC-9AA3-1B3A989742E5}"/>
    <hyperlink ref="D88" r:id="rId3" xr:uid="{D8D1447B-9ECE-4098-9FFE-64269B9ED85C}"/>
    <hyperlink ref="D95"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cols>
    <col min="1" max="1" width="9.140625" style="152"/>
    <col min="2" max="2" width="3.7109375" style="152" customWidth="1"/>
    <col min="3" max="3" width="30.5703125" style="152" customWidth="1"/>
    <col min="4" max="4" width="11.28515625" style="152" bestFit="1" customWidth="1"/>
    <col min="5" max="10" width="9.140625" style="152"/>
    <col min="11" max="11" width="10.28515625" style="152" customWidth="1"/>
    <col min="12" max="12" width="4.140625" style="152" customWidth="1"/>
    <col min="13" max="16384" width="9.140625" style="152"/>
  </cols>
  <sheetData>
    <row r="2" spans="2:13" ht="15.75" thickBot="1"/>
    <row r="3" spans="2:13" ht="15.75" customHeight="1" thickTop="1">
      <c r="B3" s="235" t="s">
        <v>71</v>
      </c>
      <c r="C3" s="236"/>
      <c r="D3" s="236"/>
      <c r="E3" s="236"/>
      <c r="F3" s="236"/>
      <c r="G3" s="236"/>
      <c r="H3" s="236"/>
      <c r="I3" s="236"/>
      <c r="J3" s="236"/>
      <c r="K3" s="236"/>
      <c r="L3" s="237"/>
    </row>
    <row r="4" spans="2:13" ht="15" customHeight="1">
      <c r="B4" s="238"/>
      <c r="C4" s="239"/>
      <c r="D4" s="239"/>
      <c r="E4" s="239"/>
      <c r="F4" s="239"/>
      <c r="G4" s="239"/>
      <c r="H4" s="239"/>
      <c r="I4" s="239"/>
      <c r="J4" s="239"/>
      <c r="K4" s="239"/>
      <c r="L4" s="240"/>
    </row>
    <row r="5" spans="2:13" ht="15" customHeight="1">
      <c r="B5" s="238"/>
      <c r="C5" s="239"/>
      <c r="D5" s="239"/>
      <c r="E5" s="239"/>
      <c r="F5" s="239"/>
      <c r="G5" s="239"/>
      <c r="H5" s="239"/>
      <c r="I5" s="239"/>
      <c r="J5" s="239"/>
      <c r="K5" s="239"/>
      <c r="L5" s="240"/>
    </row>
    <row r="6" spans="2:13" ht="21" customHeight="1">
      <c r="B6" s="146"/>
      <c r="C6" s="163"/>
      <c r="D6" s="163"/>
      <c r="E6" s="163"/>
      <c r="F6" s="163"/>
      <c r="G6" s="163"/>
      <c r="H6" s="163"/>
      <c r="I6" s="163"/>
      <c r="J6" s="163"/>
      <c r="K6" s="163"/>
      <c r="L6" s="124"/>
    </row>
    <row r="7" spans="2:13" ht="18" thickBot="1">
      <c r="B7" s="146"/>
      <c r="C7" s="70" t="s">
        <v>72</v>
      </c>
      <c r="D7" s="265">
        <v>45099</v>
      </c>
      <c r="E7" s="265"/>
      <c r="F7" s="265"/>
      <c r="G7" s="265"/>
      <c r="H7" s="265"/>
      <c r="I7" s="265"/>
      <c r="J7" s="265"/>
      <c r="K7" s="265"/>
      <c r="L7" s="165"/>
      <c r="M7" s="160"/>
    </row>
    <row r="8" spans="2:13" ht="35.25" customHeight="1" thickBot="1">
      <c r="B8" s="146"/>
      <c r="C8" s="55" t="s">
        <v>73</v>
      </c>
      <c r="D8" s="266" t="s">
        <v>74</v>
      </c>
      <c r="E8" s="266"/>
      <c r="F8" s="266"/>
      <c r="G8" s="266"/>
      <c r="H8" s="266"/>
      <c r="I8" s="266"/>
      <c r="J8" s="266"/>
      <c r="K8" s="266"/>
      <c r="L8" s="164"/>
    </row>
    <row r="9" spans="2:13" ht="39.75" customHeight="1" thickBot="1">
      <c r="B9" s="146"/>
      <c r="C9" s="168" t="s">
        <v>75</v>
      </c>
      <c r="D9" s="266" t="s">
        <v>76</v>
      </c>
      <c r="E9" s="266"/>
      <c r="F9" s="266"/>
      <c r="G9" s="266"/>
      <c r="H9" s="266"/>
      <c r="I9" s="266"/>
      <c r="J9" s="266"/>
      <c r="K9" s="266"/>
      <c r="L9" s="166"/>
    </row>
    <row r="10" spans="2:13" ht="97.5" customHeight="1">
      <c r="B10" s="146"/>
      <c r="C10" s="169" t="s">
        <v>77</v>
      </c>
      <c r="D10" s="267" t="s">
        <v>78</v>
      </c>
      <c r="E10" s="267"/>
      <c r="F10" s="267"/>
      <c r="G10" s="267"/>
      <c r="H10" s="267"/>
      <c r="I10" s="267"/>
      <c r="J10" s="267"/>
      <c r="K10" s="267"/>
      <c r="L10" s="166"/>
    </row>
    <row r="11" spans="2:13" ht="18.75" customHeight="1" thickBot="1">
      <c r="B11" s="167"/>
      <c r="C11" s="149"/>
      <c r="D11" s="149"/>
      <c r="E11" s="149"/>
      <c r="F11" s="149"/>
      <c r="G11" s="149"/>
      <c r="H11" s="149"/>
      <c r="I11" s="149"/>
      <c r="J11" s="149"/>
      <c r="K11" s="149"/>
      <c r="L11" s="150"/>
    </row>
    <row r="12" spans="2:13" ht="15.75" thickTop="1"/>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cols>
    <col min="1" max="1" width="9.28515625" style="175" customWidth="1"/>
    <col min="2" max="2" width="4.85546875" style="175" customWidth="1"/>
    <col min="3" max="3" width="33.28515625" style="175" customWidth="1"/>
    <col min="4" max="4" width="26.85546875" style="175" customWidth="1"/>
    <col min="5" max="5" width="11.42578125" style="175" customWidth="1"/>
    <col min="6" max="6" width="17.42578125" style="175" customWidth="1"/>
    <col min="7" max="7" width="33.28515625" style="175" customWidth="1"/>
    <col min="8" max="8" width="14.140625" style="175" customWidth="1"/>
    <col min="9" max="9" width="9" style="175" customWidth="1"/>
    <col min="10" max="10" width="2" style="175" customWidth="1"/>
    <col min="11" max="11" width="7.140625" style="175" customWidth="1"/>
    <col min="12" max="16384" width="9.140625" style="175"/>
  </cols>
  <sheetData>
    <row r="3" spans="1:12">
      <c r="A3" s="179"/>
      <c r="B3" s="268" t="s">
        <v>79</v>
      </c>
      <c r="C3" s="269"/>
      <c r="D3" s="269"/>
      <c r="E3" s="269"/>
      <c r="F3" s="269"/>
      <c r="G3" s="269"/>
      <c r="H3" s="269"/>
      <c r="I3" s="269"/>
      <c r="J3" s="270"/>
    </row>
    <row r="4" spans="1:12">
      <c r="A4" s="179"/>
      <c r="B4" s="268"/>
      <c r="C4" s="269"/>
      <c r="D4" s="269"/>
      <c r="E4" s="269"/>
      <c r="F4" s="269"/>
      <c r="G4" s="269"/>
      <c r="H4" s="269"/>
      <c r="I4" s="269"/>
      <c r="J4" s="270"/>
    </row>
    <row r="5" spans="1:12">
      <c r="A5" s="179"/>
      <c r="B5" s="268"/>
      <c r="C5" s="269"/>
      <c r="D5" s="269"/>
      <c r="E5" s="269"/>
      <c r="F5" s="269"/>
      <c r="G5" s="269"/>
      <c r="H5" s="269"/>
      <c r="I5" s="269"/>
      <c r="J5" s="270"/>
    </row>
    <row r="6" spans="1:12" ht="17.25">
      <c r="A6" s="179"/>
      <c r="B6" s="1"/>
      <c r="C6" s="1"/>
      <c r="D6" s="1"/>
      <c r="E6" s="1"/>
      <c r="F6" s="1"/>
      <c r="G6" s="1"/>
      <c r="H6" s="1"/>
      <c r="I6" s="1"/>
      <c r="J6" s="124"/>
      <c r="L6" s="176"/>
    </row>
    <row r="7" spans="1:12" ht="18" customHeight="1">
      <c r="A7" s="179"/>
      <c r="B7" s="1"/>
      <c r="C7" s="273" t="s">
        <v>80</v>
      </c>
      <c r="D7" s="273"/>
      <c r="E7" s="1"/>
      <c r="F7" s="1"/>
      <c r="G7" s="4"/>
      <c r="H7" s="5"/>
      <c r="I7" s="5"/>
      <c r="J7" s="170"/>
      <c r="L7" s="177"/>
    </row>
    <row r="8" spans="1:12" ht="12" customHeight="1">
      <c r="A8" s="179"/>
      <c r="B8" s="1"/>
      <c r="C8" s="1"/>
      <c r="D8" s="1"/>
      <c r="E8" s="1"/>
      <c r="F8" s="1"/>
      <c r="G8" s="3"/>
      <c r="H8" s="3"/>
      <c r="I8" s="3"/>
      <c r="J8" s="171"/>
      <c r="L8" s="177"/>
    </row>
    <row r="9" spans="1:12" ht="22.5" customHeight="1" thickBot="1">
      <c r="A9" s="179"/>
      <c r="B9" s="1"/>
      <c r="C9" s="68" t="s">
        <v>81</v>
      </c>
      <c r="D9" s="112">
        <v>45667</v>
      </c>
      <c r="E9" s="1"/>
      <c r="F9" s="1"/>
      <c r="G9" s="1"/>
      <c r="H9" s="82"/>
      <c r="I9" s="3"/>
      <c r="J9" s="171"/>
      <c r="L9" s="177"/>
    </row>
    <row r="10" spans="1:12" ht="21" customHeight="1" thickBot="1">
      <c r="A10" s="179"/>
      <c r="B10" s="1"/>
      <c r="C10" s="67" t="s">
        <v>82</v>
      </c>
      <c r="D10" s="113">
        <v>2.4</v>
      </c>
      <c r="E10" s="6"/>
      <c r="F10" s="6"/>
      <c r="G10" s="272" t="str">
        <f>IFERROR(IF(AND($D$9&lt;DATE(2025,1,1),OR((VLOOKUP($D$14,Lookups!$C$8:$G$13,2,FALSE))&gt;(VLOOKUP($D$14,Lookups!$C$8:$G$13,4,FALSE)),(VLOOKUP($D$14,Lookups!$C$8:$G$13,3,FALSE))&gt;(VLOOKUP($D$14,Lookups!$C$8:$G$13,5,FALSE)))),"A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c r="A11" s="179"/>
      <c r="B11" s="1"/>
      <c r="C11" s="67" t="s">
        <v>83</v>
      </c>
      <c r="D11" s="114">
        <v>110</v>
      </c>
      <c r="E11" s="7"/>
      <c r="F11" s="7"/>
      <c r="G11" s="272"/>
      <c r="H11" s="82"/>
      <c r="I11" s="7"/>
      <c r="J11" s="164"/>
      <c r="K11" s="177"/>
      <c r="L11" s="178"/>
    </row>
    <row r="12" spans="1:12" ht="36" customHeight="1">
      <c r="A12" s="179"/>
      <c r="B12" s="1"/>
      <c r="C12" s="67" t="s">
        <v>84</v>
      </c>
      <c r="D12" s="115">
        <v>12</v>
      </c>
      <c r="E12" s="8"/>
      <c r="F12" s="8"/>
      <c r="G12" s="272"/>
      <c r="H12" s="82"/>
      <c r="I12" s="8"/>
      <c r="J12" s="166"/>
      <c r="K12" s="178"/>
    </row>
    <row r="13" spans="1:12" ht="36" customHeight="1" thickBot="1">
      <c r="A13" s="179"/>
      <c r="B13" s="1"/>
      <c r="C13" s="67" t="s">
        <v>85</v>
      </c>
      <c r="D13" s="115" t="s">
        <v>86</v>
      </c>
      <c r="E13" s="8"/>
      <c r="F13" s="8"/>
      <c r="G13" s="272"/>
      <c r="H13" s="82"/>
      <c r="I13" s="8"/>
      <c r="J13" s="166"/>
      <c r="K13" s="178"/>
    </row>
    <row r="14" spans="1:12" ht="50.25" customHeight="1">
      <c r="A14" s="179"/>
      <c r="B14" s="1"/>
      <c r="C14" s="69" t="s">
        <v>87</v>
      </c>
      <c r="D14" s="116" t="s">
        <v>88</v>
      </c>
      <c r="E14" s="8"/>
      <c r="F14" s="1"/>
      <c r="G14" s="272"/>
      <c r="H14" s="82"/>
      <c r="I14" s="8"/>
      <c r="J14" s="166"/>
      <c r="K14" s="178"/>
    </row>
    <row r="15" spans="1:12" ht="50.25" customHeight="1" thickBot="1">
      <c r="A15" s="179"/>
      <c r="B15" s="1"/>
      <c r="C15" s="15" t="s">
        <v>89</v>
      </c>
      <c r="D15" s="80">
        <f>(IFERROR(IF(OR(D14="Package Treatment Plant user defined",D14="Septic Tank user defined"),"Please enter value in cell to the right:",IF('Stage 1'!D9&lt;DATE(2025,1,1),VLOOKUP('Stage 1'!D14,Lookups!C8:G16,2,FALSE),VLOOKUP('Stage 1'!D14,Lookups!C8:G15,4,FALSE))),""))</f>
        <v>0.6</v>
      </c>
      <c r="E15" s="117"/>
      <c r="F15" s="83" t="str">
        <f>IFERROR(IF(AND($D$9&lt;DATE(2025,1,1),(VLOOKUP($D$14,Lookups!$C$8:$G$13,2,FALSE))&gt;(VLOOKUP($D$14,Lookups!$C$8:$G$13,4,FALSE))), "Post 2025 WwTW P permit:",""),"")</f>
        <v/>
      </c>
      <c r="G15" s="85" t="str">
        <f>IFERROR(IF(AND($D$9&lt;DATE(2025,1,1),(VLOOKUP($D$14,Lookups!$C$8:$G$13,2,FALSE))&gt;(VLOOKUP($D$14,Lookups!$C$8:$G$13,4,FALSE))), VLOOKUP('Stage 1'!D14,Lookups!C8:G16,4,FALSE),""),"")</f>
        <v/>
      </c>
      <c r="H15" s="26" t="str">
        <f>IFERROR(IF(AND($D$9&lt;DATE(2025,1,1),(VLOOKUP($D$14,Lookups!$C$8:$G$13,2,FALSE))&gt;(VLOOKUP($D$14,Lookups!$C$8:$G$13,4,FALSE))), "mg TP/litre",""),"")</f>
        <v/>
      </c>
      <c r="I15" s="8"/>
      <c r="J15" s="124"/>
      <c r="K15" s="178"/>
    </row>
    <row r="16" spans="1:12" ht="50.25" customHeight="1">
      <c r="A16" s="179"/>
      <c r="B16" s="1"/>
      <c r="C16" s="66" t="s">
        <v>90</v>
      </c>
      <c r="D16" s="81">
        <f>IFERROR(IF(OR(D14="Package Treatment Plant user defined",D14="Septic Tank user defined"),"Please enter value in cell to the right:",IF(AND('Stage 1'!D9&lt;DATE(2025,1,1),D13="Yes"),VLOOKUP('Stage 1'!D14,Lookups!$C$8:$I$15,6,FALSE),IF(AND('Stage 1'!D9&lt;DATE(2025,1,1),D13="No"),VLOOKUP('Stage 1'!D14,Lookups!$C$8:$I$15,3,FALSE),IF(AND('Stage 1'!D9&gt;DATE(2025,1,1),D13="Yes"),VLOOKUP('Stage 1'!D14,Lookups!$C$8:$I$15,7,FALSE),IF(AND('Stage 1'!D9&gt;DATE(2025,1,1),D13="No"),VLOOKUP('Stage 1'!D14,Lookups!$C$8:$I$15,5,FALSE),""))))),"")</f>
        <v>25</v>
      </c>
      <c r="E16" s="117"/>
      <c r="F16" s="84" t="str">
        <f>IFERROR(IF(AND($D$9&lt;DATE(2025,1,1),(VLOOKUP($D$14,Lookups!$C$8:$G$13,3,FALSE))&gt;(VLOOKUP($D$14,Lookups!$C$8:$G$13,5,FALSE))), "Post 2025 WwTW N permit:",""),"")</f>
        <v/>
      </c>
      <c r="G16" s="85" t="str">
        <f>IFERROR(IF(AND($D$9&lt;DATE(2025,1,1),(VLOOKUP($D$14,Lookups!$C$8:$G$13,3,FALSE))&gt;(VLOOKUP($D$14,Lookups!$C$8:$G$13,5,FALSE))), VLOOKUP('Stage 1'!D14,Lookups!$C$8:$G$16,5,FALSE),""),"")</f>
        <v/>
      </c>
      <c r="H16" s="26" t="str">
        <f>IFERROR(IF(AND($D$9&lt;DATE(2025,1,1),(VLOOKUP($D$14,Lookups!$C$8:$G$13,3,FALSE))&gt;(VLOOKUP($D$14,Lookups!$C$8:$G$13,5,FALSE))), "mg TN/litre",""),"")</f>
        <v/>
      </c>
      <c r="I16" s="8"/>
      <c r="J16" s="166"/>
      <c r="K16" s="178"/>
    </row>
    <row r="17" spans="1:14" ht="18" customHeight="1">
      <c r="A17" s="179"/>
      <c r="B17" s="1"/>
      <c r="C17" s="1"/>
      <c r="D17" s="1"/>
      <c r="E17" s="1"/>
      <c r="F17" s="1"/>
      <c r="G17" s="1"/>
      <c r="H17" s="1"/>
      <c r="I17" s="1"/>
      <c r="J17" s="124"/>
    </row>
    <row r="18" spans="1:14" ht="18">
      <c r="A18" s="179"/>
      <c r="B18" s="1"/>
      <c r="C18" s="273" t="s">
        <v>91</v>
      </c>
      <c r="D18" s="273"/>
      <c r="E18" s="1"/>
      <c r="F18" s="1"/>
      <c r="G18" s="1"/>
      <c r="H18" s="1"/>
      <c r="I18" s="1"/>
      <c r="J18" s="124"/>
    </row>
    <row r="19" spans="1:14">
      <c r="A19" s="179"/>
      <c r="B19" s="1"/>
      <c r="C19" s="1"/>
      <c r="D19" s="1"/>
      <c r="E19" s="1"/>
      <c r="F19" s="1"/>
      <c r="G19" s="1"/>
      <c r="H19" s="1"/>
      <c r="I19" s="1"/>
      <c r="J19" s="172"/>
    </row>
    <row r="20" spans="1:14" ht="3.75" customHeight="1">
      <c r="A20" s="179"/>
      <c r="B20" s="1"/>
      <c r="C20" s="1"/>
      <c r="D20" s="1"/>
      <c r="E20" s="1"/>
      <c r="F20" s="1"/>
      <c r="G20" s="1"/>
      <c r="H20" s="1"/>
      <c r="I20" s="1"/>
      <c r="J20" s="172"/>
      <c r="N20" s="175" t="s">
        <v>92</v>
      </c>
    </row>
    <row r="21" spans="1:14" ht="17.25">
      <c r="A21" s="179"/>
      <c r="B21" s="1"/>
      <c r="C21" s="271" t="str">
        <f>IFERROR(IF(AND($D$9&lt;DATE(2025,1,1),OR((VLOOKUP($D$14,Lookups!$C$8:$G$13,2,FALSE))&gt;(VLOOKUP($D$14,Lookups!$C$8:$G$13,4,FALSE)),(VLOOKUP($D$14,Lookups!$C$8:$G$13,3,FALSE))&gt;(VLOOKUP($D$14,Lookups!$C$8:$G$13,5,FALSE)))),"Post-2025 Stage 1 Nutrient Loading","Stage 1 Nutrient Loading"),"")</f>
        <v>Stage 1 Nutrient Loading</v>
      </c>
      <c r="D21" s="271"/>
      <c r="E21" s="1"/>
      <c r="F21" s="1"/>
      <c r="G21" s="271" t="str">
        <f>IFERROR(IF(AND($D$9&lt;DATE(2025,1,1),OR((VLOOKUP($D$14,Lookups!$C$8:$G$13,2,FALSE))&gt;(VLOOKUP($D$14,Lookups!$C$8:$G$13,4,FALSE)),(VLOOKUP($D$14,Lookups!$C$8:$G$13,3,FALSE))&gt;(VLOOKUP($D$14,Lookups!$C$8:$G$13,5,FALSE)))),"Pre-2025 Stage 1 Nutrient Loading",""),"")</f>
        <v/>
      </c>
      <c r="H21" s="271"/>
      <c r="I21" s="1"/>
      <c r="J21" s="124"/>
    </row>
    <row r="22" spans="1:14" hidden="1">
      <c r="A22" s="179"/>
      <c r="B22" s="1"/>
      <c r="C22" s="1"/>
      <c r="D22" s="1"/>
      <c r="E22" s="1"/>
      <c r="F22" s="1"/>
      <c r="G22" s="1"/>
      <c r="H22" s="1"/>
      <c r="I22" s="1"/>
      <c r="J22" s="172"/>
    </row>
    <row r="23" spans="1:14" ht="17.25" thickBot="1">
      <c r="A23" s="179"/>
      <c r="B23" s="1"/>
      <c r="C23" s="57" t="s">
        <v>93</v>
      </c>
      <c r="D23" s="58">
        <f>IF(ISBLANK(D12),"",D10*D12)</f>
        <v>28.799999999999997</v>
      </c>
      <c r="E23" s="28" t="s">
        <v>94</v>
      </c>
      <c r="F23" s="1"/>
      <c r="G23" s="19" t="str">
        <f>IFERROR(IF(AND($D$9&lt;DATE(2025,1,1),OR((VLOOKUP($D$14,Lookups!$C$8:$G$13,2,FALSE))&gt;(VLOOKUP($D$14,Lookups!$C$8:$G$13,4,FALSE)),(VLOOKUP($D$14,Lookups!$C$8:$G$13,3,FALSE))&gt;(VLOOKUP($D$14,Lookups!$C$8:$G$13,5,FALSE)))),"Annual wastewater TP load:",""),"")</f>
        <v/>
      </c>
      <c r="H23" s="21" t="str">
        <f>IFERROR(IF(AND($D$9&lt;DATE(2025,1,1),OR((VLOOKUP($D$14,Lookups!$C$8:$G$13,2,FALSE))&gt;(VLOOKUP($D$14,Lookups!$C$8:$G$13,4,FALSE)),(VLOOKUP($D$14,Lookups!$C$8:$G$13,3,FALSE))&gt;(VLOOKUP($D$14,Lookups!$C$8:$G$13,5,FALSE)))),IF(D15=8,(D15*D$24)/1000000*365.25,(D15*D$24*0.9)/1000000*365.25),""),"")</f>
        <v/>
      </c>
      <c r="I23" s="28" t="str">
        <f>IFERROR(IF(AND($D$9&lt;DATE(2025,1,1),OR((VLOOKUP($D$14,Lookups!$C$8:$G$13,2,FALSE))&gt;(VLOOKUP($D$14,Lookups!$C$8:$G$13,4,FALSE)),(VLOOKUP($D$14,Lookups!$C$8:$G$13,3,FALSE))&gt;(VLOOKUP($D$14,Lookups!$C$8:$G$13,5,FALSE)))),"kg TP/yr",""),"")</f>
        <v/>
      </c>
      <c r="J23" s="173"/>
    </row>
    <row r="24" spans="1:14" ht="15.75" thickBot="1">
      <c r="A24" s="179"/>
      <c r="B24" s="1"/>
      <c r="C24" s="27" t="s">
        <v>95</v>
      </c>
      <c r="D24" s="56">
        <f>IFERROR(D23*D11,"")</f>
        <v>3167.9999999999995</v>
      </c>
      <c r="E24" s="28" t="s">
        <v>96</v>
      </c>
      <c r="F24" s="1"/>
      <c r="G24" s="19" t="str">
        <f>IFERROR(IF(AND($D$9&lt;DATE(2025,1,1),OR((VLOOKUP($D$14,Lookups!$C$8:$G$13,2,FALSE))&gt;(VLOOKUP($D$14,Lookups!$C$8:$G$13,4,FALSE)),(VLOOKUP($D$14,Lookups!$C$8:$G$13,3,FALSE))&gt;(VLOOKUP($D$14,Lookups!$C$8:$G$13,5,FALSE)))),"Annual wastewater TN load:",""),"")</f>
        <v/>
      </c>
      <c r="H24" s="21" t="str">
        <f>IFERROR(IF(AND($D$9&lt;DATE(2025,1,1),OR((VLOOKUP($D$14,Lookups!$C$8:$G$13,2,FALSE))&gt;(VLOOKUP($D$14,Lookups!$C$8:$G$13,4,FALSE)),(VLOOKUP($D$14,Lookups!$C$8:$G$13,3,FALSE))&gt;(VLOOKUP($D$14,Lookups!$C$8:$G$13,5,FALSE)))),IF(D16=25,(D16*D$24)/1000000*365.25,(D16*D$24*0.9)/1000000*365.25),""),"")</f>
        <v/>
      </c>
      <c r="I24" s="28" t="str">
        <f>IFERROR(IF(AND($D$9&lt;DATE(2025,1,1),OR((VLOOKUP($D$14,Lookups!$C$8:$G$13,2,FALSE))&gt;(VLOOKUP($D$14,Lookups!$C$8:$G$13,4,FALSE)),(VLOOKUP($D$14,Lookups!$C$8:$G$13,3,FALSE))&gt;(VLOOKUP($D$14,Lookups!$C$8:$G$13,5,FALSE)))),"kg TN/yr",""),"")</f>
        <v/>
      </c>
      <c r="J24" s="124"/>
    </row>
    <row r="25" spans="1:14" hidden="1">
      <c r="A25" s="179"/>
      <c r="B25" s="1"/>
      <c r="C25" s="1"/>
      <c r="D25" s="1"/>
      <c r="E25" s="86"/>
      <c r="F25" s="1"/>
      <c r="G25" s="1"/>
      <c r="H25" s="1"/>
      <c r="I25" s="86"/>
      <c r="J25" s="124"/>
    </row>
    <row r="26" spans="1:14" hidden="1">
      <c r="A26" s="179"/>
      <c r="B26" s="1"/>
      <c r="C26" s="1"/>
      <c r="D26" s="1"/>
      <c r="E26" s="86"/>
      <c r="F26" s="1"/>
      <c r="G26" s="89"/>
      <c r="H26" s="89"/>
      <c r="I26" s="90"/>
      <c r="J26" s="174"/>
    </row>
    <row r="27" spans="1:14" ht="15.75" hidden="1" thickBot="1">
      <c r="A27" s="179"/>
      <c r="B27" s="1"/>
      <c r="C27" s="57" t="s">
        <v>97</v>
      </c>
      <c r="D27" s="58">
        <f>IFERROR(IF(ISNUMBER(G15),G15*D24*0.9,IF(D15="Please enter value in cell to the right:",IF(AND(D15="Please enter value in cell to the right:",ISNUMBER(E15)),D24*E15, VLOOKUP((LEFT(D14,(LEN(D14)-13))&amp;" default"),Lookups!C12:E13,2,FALSE)*D24),IF(OR(D14="Package Treatment Plant default",D14="Septic Tank default"),D15*D24,IF(D15=8,D15*D24,D15*D24*0.9)))),"")</f>
        <v>1710.7199999999998</v>
      </c>
      <c r="E27" s="28" t="s">
        <v>98</v>
      </c>
      <c r="F27" s="1"/>
      <c r="G27" s="91"/>
      <c r="H27" s="89"/>
      <c r="I27" s="89"/>
      <c r="J27" s="174"/>
    </row>
    <row r="28" spans="1:14" ht="15.75" hidden="1" thickBot="1">
      <c r="A28" s="179"/>
      <c r="B28" s="1"/>
      <c r="C28" s="27" t="s">
        <v>99</v>
      </c>
      <c r="D28" s="56">
        <f>IFERROR($D$27/1000000,"")</f>
        <v>1.7107199999999998E-3</v>
      </c>
      <c r="E28" s="28" t="s">
        <v>100</v>
      </c>
      <c r="F28" s="1"/>
      <c r="G28" s="91"/>
      <c r="H28" s="95"/>
      <c r="I28" s="92"/>
      <c r="J28" s="174"/>
    </row>
    <row r="29" spans="1:14" ht="15.75" hidden="1" thickBot="1">
      <c r="A29" s="179"/>
      <c r="B29" s="1"/>
      <c r="C29" s="59" t="s">
        <v>101</v>
      </c>
      <c r="D29" s="61">
        <f>IFERROR($D$28*365.25,"")</f>
        <v>0.62484047999999992</v>
      </c>
      <c r="E29" s="28" t="s">
        <v>102</v>
      </c>
      <c r="F29" s="1"/>
      <c r="G29" s="91"/>
      <c r="H29" s="96"/>
      <c r="I29" s="92"/>
      <c r="J29" s="174"/>
    </row>
    <row r="30" spans="1:14">
      <c r="A30" s="179"/>
      <c r="B30" s="1"/>
      <c r="C30" s="60" t="s">
        <v>103</v>
      </c>
      <c r="D30" s="62">
        <f>D29</f>
        <v>0.62484047999999992</v>
      </c>
      <c r="E30" s="87" t="s">
        <v>102</v>
      </c>
      <c r="F30" s="1"/>
      <c r="G30" s="93"/>
      <c r="H30" s="97"/>
      <c r="I30" s="94"/>
      <c r="J30" s="174"/>
    </row>
    <row r="31" spans="1:14" hidden="1">
      <c r="A31" s="179"/>
      <c r="B31" s="1"/>
      <c r="C31" s="1"/>
      <c r="D31" s="1"/>
      <c r="E31" s="86"/>
      <c r="F31" s="1"/>
      <c r="G31" s="89"/>
      <c r="H31" s="89"/>
      <c r="I31" s="90"/>
      <c r="J31" s="174"/>
    </row>
    <row r="32" spans="1:14" hidden="1">
      <c r="A32" s="179"/>
      <c r="B32" s="1"/>
      <c r="C32" s="1"/>
      <c r="D32" s="1"/>
      <c r="E32" s="86"/>
      <c r="F32" s="1"/>
      <c r="G32" s="89"/>
      <c r="H32" s="89"/>
      <c r="I32" s="90"/>
      <c r="J32" s="174"/>
    </row>
    <row r="33" spans="1:10" ht="15.75" hidden="1" thickBot="1">
      <c r="A33" s="179"/>
      <c r="B33" s="1"/>
      <c r="C33" s="27" t="s">
        <v>104</v>
      </c>
      <c r="D33" s="56">
        <f>IFERROR(IF(ISNUMBER(G16),G16*D24*0.9,IF(D16="Please enter value in cell to the right:",IF(AND(D16="Please enter value in cell to the right:",ISNUMBER(E16)),D24*(IF(E16-2&lt;0,E16,E16-2)), VLOOKUP((LEFT(D14,(LEN(D14)-13))&amp;" default"),Lookups!C12:E13,3,FALSE)*D24),IF(OR(D14="Package Treatment Plant default",D14="Septic Tank default"),D16*D24,IF(D16=25,D16*D24,D16*D24*0.9)))),"")</f>
        <v>79199.999999999985</v>
      </c>
      <c r="E33" s="28" t="s">
        <v>105</v>
      </c>
      <c r="F33" s="1"/>
      <c r="G33" s="91"/>
      <c r="H33" s="95"/>
      <c r="I33" s="92"/>
      <c r="J33" s="174"/>
    </row>
    <row r="34" spans="1:10" ht="15.75" hidden="1" thickBot="1">
      <c r="A34" s="179"/>
      <c r="B34" s="1"/>
      <c r="C34" s="63" t="s">
        <v>106</v>
      </c>
      <c r="D34" s="64">
        <f>IFERROR($D$33/1000000,"")</f>
        <v>7.9199999999999979E-2</v>
      </c>
      <c r="E34" s="28" t="s">
        <v>107</v>
      </c>
      <c r="F34" s="1"/>
      <c r="G34" s="91"/>
      <c r="H34" s="95"/>
      <c r="I34" s="92"/>
      <c r="J34" s="174"/>
    </row>
    <row r="35" spans="1:10" ht="15.75" hidden="1" thickBot="1">
      <c r="A35" s="179"/>
      <c r="B35" s="1"/>
      <c r="C35" s="63" t="s">
        <v>108</v>
      </c>
      <c r="D35" s="65">
        <f>IFERROR($D$34*365.25,"")</f>
        <v>28.927799999999991</v>
      </c>
      <c r="E35" s="28" t="s">
        <v>109</v>
      </c>
      <c r="F35" s="1"/>
      <c r="G35" s="91"/>
      <c r="H35" s="96"/>
      <c r="I35" s="92"/>
      <c r="J35" s="174"/>
    </row>
    <row r="36" spans="1:10">
      <c r="A36" s="179"/>
      <c r="B36" s="1"/>
      <c r="C36" s="19" t="s">
        <v>110</v>
      </c>
      <c r="D36" s="20">
        <f>D35</f>
        <v>28.927799999999991</v>
      </c>
      <c r="E36" s="87" t="s">
        <v>109</v>
      </c>
      <c r="F36" s="1"/>
      <c r="G36" s="93"/>
      <c r="H36" s="97"/>
      <c r="I36" s="94"/>
      <c r="J36" s="174"/>
    </row>
    <row r="37" spans="1:10" ht="15.75" thickBot="1">
      <c r="A37" s="179"/>
      <c r="B37" s="167"/>
      <c r="C37" s="149"/>
      <c r="D37" s="149"/>
      <c r="E37" s="149"/>
      <c r="F37" s="149"/>
      <c r="G37" s="149"/>
      <c r="H37" s="149"/>
      <c r="I37" s="149"/>
      <c r="J37" s="150"/>
    </row>
    <row r="38" spans="1:10" ht="15.75" thickTop="1"/>
  </sheetData>
  <sheetProtection algorithmName="SHA-512" hashValue="fHqHhJeV9WuitXIom8d9a5ToS3tJWuo0BrvNmXwWBJHKU/7WrCGtYqdkgjFtHwQPu5k8Cw0ymA/IIGqe7ydRXQ==" saltValue="9iD8waZD2HzaTKjaBecsSg=="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10" priority="10">
      <formula>OR(ISNUMBER($D$16),ISBLANK($D$14))</formula>
    </cfRule>
    <cfRule type="expression" dxfId="9" priority="11">
      <formula>($D$16="Please enter value in cell to the right:")</formula>
    </cfRule>
  </conditionalFormatting>
  <conditionalFormatting sqref="G15">
    <cfRule type="expression" dxfId="8" priority="5">
      <formula>ISNUMBER($G$15)</formula>
    </cfRule>
  </conditionalFormatting>
  <conditionalFormatting sqref="G10 H9:H16">
    <cfRule type="expression" dxfId="7" priority="12">
      <formula>_xlfn.ISFORMULA($G$10)</formula>
    </cfRule>
    <cfRule type="expression" dxfId="6" priority="13">
      <formula>ISTEXT($G$10)</formula>
    </cfRule>
  </conditionalFormatting>
  <conditionalFormatting sqref="G16">
    <cfRule type="expression" dxfId="5" priority="4">
      <formula>ISNUMBER($G$16)</formula>
    </cfRule>
  </conditionalFormatting>
  <conditionalFormatting sqref="H23">
    <cfRule type="expression" dxfId="4" priority="2">
      <formula>ISNUMBER($H$23)</formula>
    </cfRule>
  </conditionalFormatting>
  <conditionalFormatting sqref="H24">
    <cfRule type="expression" dxfId="3" priority="1">
      <formula>ISNUMBER(H24)</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D14</xm:sqref>
        </x14:dataValidation>
        <x14:dataValidation type="list" operator="greaterThan" allowBlank="1" showInputMessage="1" showErrorMessage="1" errorTitle="Development proposal" error="Please ensure that the total number of dwellings is entered as a whole number" prompt="Please edit if the catchment does not have a deductible acceptable loading. " xr:uid="{0A0B4F66-D48C-44E4-8395-F65BB5387697}">
          <x14:formula1>
            <xm:f>Lookups!$C$144:$C$145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7" zoomScaleNormal="100" workbookViewId="0">
      <selection activeCell="E12" sqref="E12"/>
    </sheetView>
  </sheetViews>
  <sheetFormatPr defaultColWidth="9.140625" defaultRowHeight="15"/>
  <cols>
    <col min="1" max="1" width="9.140625" style="152"/>
    <col min="2" max="2" width="4.7109375" style="152" customWidth="1"/>
    <col min="3" max="3" width="32.140625" style="152" customWidth="1"/>
    <col min="4" max="4" width="8.42578125" style="152" bestFit="1" customWidth="1"/>
    <col min="5" max="5" width="21.140625" style="152" customWidth="1"/>
    <col min="6" max="6" width="17.7109375" style="152" customWidth="1"/>
    <col min="7" max="7" width="122.7109375" style="152" customWidth="1"/>
    <col min="8" max="8" width="5.7109375" style="152" customWidth="1"/>
    <col min="9" max="9" width="8.140625" style="152" customWidth="1"/>
    <col min="10" max="10" width="9.140625" style="152" customWidth="1"/>
    <col min="11" max="11" width="26.140625" style="152" customWidth="1"/>
    <col min="12" max="16384" width="9.140625" style="152"/>
  </cols>
  <sheetData>
    <row r="3" spans="1:11" ht="29.25">
      <c r="A3" s="153"/>
      <c r="B3" s="268" t="s">
        <v>111</v>
      </c>
      <c r="C3" s="269"/>
      <c r="D3" s="269"/>
      <c r="E3" s="269"/>
      <c r="F3" s="269"/>
      <c r="G3" s="269"/>
      <c r="H3" s="231"/>
    </row>
    <row r="4" spans="1:11" ht="29.25">
      <c r="A4" s="153"/>
      <c r="B4" s="268"/>
      <c r="C4" s="269"/>
      <c r="D4" s="269"/>
      <c r="E4" s="269"/>
      <c r="F4" s="269"/>
      <c r="G4" s="269"/>
      <c r="H4" s="231"/>
    </row>
    <row r="5" spans="1:11" ht="29.25">
      <c r="A5" s="153"/>
      <c r="B5" s="268"/>
      <c r="C5" s="269"/>
      <c r="D5" s="269"/>
      <c r="E5" s="269"/>
      <c r="F5" s="269"/>
      <c r="G5" s="269"/>
      <c r="H5" s="231"/>
    </row>
    <row r="6" spans="1:11" ht="17.25">
      <c r="A6" s="153"/>
      <c r="B6" s="1"/>
      <c r="C6" s="1"/>
      <c r="D6" s="1"/>
      <c r="E6" s="1"/>
      <c r="F6" s="1"/>
      <c r="G6" s="6"/>
      <c r="H6" s="165"/>
    </row>
    <row r="7" spans="1:11" ht="18" customHeight="1">
      <c r="A7" s="153"/>
      <c r="B7" s="1"/>
      <c r="C7" s="277" t="s">
        <v>80</v>
      </c>
      <c r="D7" s="277"/>
      <c r="E7" s="277"/>
      <c r="F7" s="277"/>
      <c r="G7" s="7"/>
      <c r="H7" s="164"/>
    </row>
    <row r="8" spans="1:11" ht="12" customHeight="1">
      <c r="A8" s="153"/>
      <c r="B8" s="1"/>
      <c r="C8" s="1"/>
      <c r="D8" s="1"/>
      <c r="E8" s="1"/>
      <c r="F8" s="1"/>
      <c r="G8" s="7"/>
      <c r="H8" s="164"/>
    </row>
    <row r="9" spans="1:11" ht="18" thickBot="1">
      <c r="A9" s="153"/>
      <c r="B9" s="1"/>
      <c r="C9" s="275" t="s">
        <v>112</v>
      </c>
      <c r="D9" s="275"/>
      <c r="E9" s="106" t="s">
        <v>113</v>
      </c>
      <c r="F9" s="1"/>
      <c r="G9" s="7"/>
      <c r="H9" s="164"/>
    </row>
    <row r="10" spans="1:11" ht="17.25">
      <c r="A10" s="153"/>
      <c r="B10" s="1"/>
      <c r="C10" s="276" t="s">
        <v>114</v>
      </c>
      <c r="D10" s="276"/>
      <c r="E10" s="107" t="s">
        <v>115</v>
      </c>
      <c r="F10" s="1"/>
      <c r="G10" s="8"/>
      <c r="H10" s="166"/>
    </row>
    <row r="11" spans="1:11" ht="18" thickBot="1">
      <c r="A11" s="153"/>
      <c r="B11" s="1"/>
      <c r="C11" s="276" t="s">
        <v>116</v>
      </c>
      <c r="D11" s="276"/>
      <c r="E11" s="108" t="s">
        <v>117</v>
      </c>
      <c r="F11" s="1"/>
      <c r="G11" s="8"/>
      <c r="H11" s="166"/>
    </row>
    <row r="12" spans="1:11">
      <c r="A12" s="153"/>
      <c r="B12" s="1"/>
      <c r="C12" s="274" t="s">
        <v>118</v>
      </c>
      <c r="D12" s="274"/>
      <c r="E12" s="109" t="s">
        <v>86</v>
      </c>
      <c r="F12" s="1"/>
      <c r="G12" s="1"/>
      <c r="H12" s="124"/>
    </row>
    <row r="13" spans="1:11">
      <c r="A13" s="153"/>
      <c r="B13" s="1"/>
      <c r="C13" s="1"/>
      <c r="D13" s="1"/>
      <c r="E13" s="1"/>
      <c r="F13" s="1"/>
      <c r="G13" s="1"/>
      <c r="H13" s="124"/>
    </row>
    <row r="14" spans="1:11" ht="63" customHeight="1" thickBot="1">
      <c r="A14" s="153"/>
      <c r="B14" s="1"/>
      <c r="C14" s="72" t="s">
        <v>119</v>
      </c>
      <c r="D14" s="73" t="s">
        <v>120</v>
      </c>
      <c r="E14" s="73" t="s">
        <v>121</v>
      </c>
      <c r="F14" s="74" t="s">
        <v>122</v>
      </c>
      <c r="G14" s="1"/>
      <c r="H14" s="124"/>
    </row>
    <row r="15" spans="1:11">
      <c r="A15" s="153"/>
      <c r="B15" s="1"/>
      <c r="C15" s="110" t="s">
        <v>123</v>
      </c>
      <c r="D15" s="205">
        <v>0.1</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0.12083187269999995</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0.82014062247999964</v>
      </c>
      <c r="G15" s="232" t="str">
        <f>IF(
OR(ISBLANK($C15),ISBLANK($D15),ISBLANK($E$10),ISBLANK($E$9),ISBLANK($E$11),$C15="Residential urban land",$C15="Commercial/industrial urban land",$C15="Open urban land",$C15="Greenspace",$C15="Community food growing",$C15="Woodland",$C15="Shrub",$C15="Water"),"",IFERROR($D15*VLOOKUP((IF(
OR($C15="Residential urban land",$C15="Commercial/industrial urban land",$C15="Open urban land",$C15="Greenspace",$C15="Community food growing",$C15="Woodland",$C15="Shrub",$C15="Water"),"|||"&amp;$C15,(VLOOKUP('Stage 2'!$E$9,Lookups!$C$135:$D$140,2,FALSE)&amp;"|"&amp;$C15&amp;"|"&amp;VLOOKUP('Stage 2'!$E$12,Lookups!$C$144:$D$145,2,FALSE)&amp;"|"&amp;VLOOKUP('Stage 2'!$E$11,Lookups!$C$104:$E$126,3,FALSE)&amp;"|"&amp;VLOOKUP($E$10,Lookups!$C$135:$D$140,2,FALSE)))),Lookups!$H$19:$J$100,3,FALSE),
IFERROR($D15*VLOOKUP($C15&amp;"|"&amp;VLOOKUP('Stage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5" s="180"/>
      <c r="I15" s="181"/>
      <c r="J15" s="181"/>
      <c r="K15" s="181"/>
    </row>
    <row r="16" spans="1:11">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232" t="str">
        <f>IF(
OR(ISBLANK($C16),ISBLANK($D16),ISBLANK($E$10),ISBLANK($E$9),ISBLANK($E$11),$C16="Residential urban land",$C16="Commercial/industrial urban land",$C16="Open urban land",$C16="Greenspace",$C16="Community food growing",$C16="Woodland",$C16="Shrub",$C16="Water"),"",IFERROR($D16*VLOOKUP((IF(
OR($C16="Residential urban land",$C16="Commercial/industrial urban land",$C16="Open urban land",$C16="Greenspace",$C16="Community food growing",$C16="Woodland",$C16="Shrub",$C16="Water"),"|||"&amp;$C16,(VLOOKUP('Stage 2'!$E$9,Lookups!$C$135:$D$140,2,FALSE)&amp;"|"&amp;$C16&amp;"|"&amp;VLOOKUP('Stage 2'!$E$12,Lookups!$C$144:$D$145,2,FALSE)&amp;"|"&amp;VLOOKUP('Stage 2'!$E$11,Lookups!$C$104:$E$126,3,FALSE)&amp;"|"&amp;VLOOKUP($E$10,Lookups!$C$135:$D$140,2,FALSE)))),Lookups!$H$19:$J$100,3,FALSE),
IFERROR($D16*VLOOKUP($C16&amp;"|"&amp;VLOOKUP('Stage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6" s="180"/>
      <c r="I16" s="181"/>
      <c r="J16" s="181"/>
      <c r="K16" s="181"/>
    </row>
    <row r="17" spans="1:11">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232" t="str">
        <f>IF(
OR(ISBLANK($C17),ISBLANK($D17),ISBLANK($E$10),ISBLANK($E$9),ISBLANK($E$11),$C17="Residential urban land",$C17="Commercial/industrial urban land",$C17="Open urban land",$C17="Greenspace",$C17="Community food growing",$C17="Woodland",$C17="Shrub",$C17="Water"),"",IFERROR($D17*VLOOKUP((IF(
OR($C17="Residential urban land",$C17="Commercial/industrial urban land",$C17="Open urban land",$C17="Greenspace",$C17="Community food growing",$C17="Woodland",$C17="Shrub",$C17="Water"),"|||"&amp;$C17,(VLOOKUP('Stage 2'!$E$9,Lookups!$C$135:$D$140,2,FALSE)&amp;"|"&amp;$C17&amp;"|"&amp;VLOOKUP('Stage 2'!$E$12,Lookups!$C$144:$D$145,2,FALSE)&amp;"|"&amp;VLOOKUP('Stage 2'!$E$11,Lookups!$C$104:$E$126,3,FALSE)&amp;"|"&amp;VLOOKUP($E$10,Lookups!$C$135:$D$140,2,FALSE)))),Lookups!$H$19:$J$100,3,FALSE),
IFERROR($D17*VLOOKUP($C17&amp;"|"&amp;VLOOKUP('Stage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7" s="180"/>
      <c r="I17" s="181"/>
      <c r="J17" s="181"/>
      <c r="K17" s="181"/>
    </row>
    <row r="18" spans="1:11">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232" t="str">
        <f>IF(
OR(ISBLANK($C18),ISBLANK($D18),ISBLANK($E$10),ISBLANK($E$9),ISBLANK($E$11),$C18="Residential urban land",$C18="Commercial/industrial urban land",$C18="Open urban land",$C18="Greenspace",$C18="Community food growing",$C18="Woodland",$C18="Shrub",$C18="Water"),"",IFERROR($D18*VLOOKUP((IF(
OR($C18="Residential urban land",$C18="Commercial/industrial urban land",$C18="Open urban land",$C18="Greenspace",$C18="Community food growing",$C18="Woodland",$C18="Shrub",$C18="Water"),"|||"&amp;$C18,(VLOOKUP('Stage 2'!$E$9,Lookups!$C$135:$D$140,2,FALSE)&amp;"|"&amp;$C18&amp;"|"&amp;VLOOKUP('Stage 2'!$E$12,Lookups!$C$144:$D$145,2,FALSE)&amp;"|"&amp;VLOOKUP('Stage 2'!$E$11,Lookups!$C$104:$E$126,3,FALSE)&amp;"|"&amp;VLOOKUP($E$10,Lookups!$C$135:$D$140,2,FALSE)))),Lookups!$H$19:$J$100,3,FALSE),
IFERROR($D18*VLOOKUP($C18&amp;"|"&amp;VLOOKUP('Stage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8" s="180"/>
      <c r="I18" s="181"/>
      <c r="J18" s="181"/>
      <c r="K18" s="181"/>
    </row>
    <row r="19" spans="1:11">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232" t="str">
        <f>IF(
OR(ISBLANK($C19),ISBLANK($D19),ISBLANK($E$10),ISBLANK($E$9),ISBLANK($E$11),$C19="Residential urban land",$C19="Commercial/industrial urban land",$C19="Open urban land",$C19="Greenspace",$C19="Community food growing",$C19="Woodland",$C19="Shrub",$C19="Water"),"",IFERROR($D19*VLOOKUP((IF(
OR($C19="Residential urban land",$C19="Commercial/industrial urban land",$C19="Open urban land",$C19="Greenspace",$C19="Community food growing",$C19="Woodland",$C19="Shrub",$C19="Water"),"|||"&amp;$C19,(VLOOKUP('Stage 2'!$E$9,Lookups!$C$135:$D$140,2,FALSE)&amp;"|"&amp;$C19&amp;"|"&amp;VLOOKUP('Stage 2'!$E$12,Lookups!$C$144:$D$145,2,FALSE)&amp;"|"&amp;VLOOKUP('Stage 2'!$E$11,Lookups!$C$104:$E$126,3,FALSE)&amp;"|"&amp;VLOOKUP($E$10,Lookups!$C$135:$D$140,2,FALSE)))),Lookups!$H$19:$J$100,3,FALSE),
IFERROR($D19*VLOOKUP($C19&amp;"|"&amp;VLOOKUP('Stage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9" s="180"/>
      <c r="I19" s="181"/>
      <c r="J19" s="181"/>
      <c r="K19" s="181"/>
    </row>
    <row r="20" spans="1:11">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232" t="str">
        <f>IF(
OR(ISBLANK($C20),ISBLANK($D20),ISBLANK($E$10),ISBLANK($E$9),ISBLANK($E$11),$C20="Residential urban land",$C20="Commercial/industrial urban land",$C20="Open urban land",$C20="Greenspace",$C20="Community food growing",$C20="Woodland",$C20="Shrub",$C20="Water"),"",IFERROR($D20*VLOOKUP((IF(
OR($C20="Residential urban land",$C20="Commercial/industrial urban land",$C20="Open urban land",$C20="Greenspace",$C20="Community food growing",$C20="Woodland",$C20="Shrub",$C20="Water"),"|||"&amp;$C20,(VLOOKUP('Stage 2'!$E$9,Lookups!$C$135:$D$140,2,FALSE)&amp;"|"&amp;$C20&amp;"|"&amp;VLOOKUP('Stage 2'!$E$12,Lookups!$C$144:$D$145,2,FALSE)&amp;"|"&amp;VLOOKUP('Stage 2'!$E$11,Lookups!$C$104:$E$126,3,FALSE)&amp;"|"&amp;VLOOKUP($E$10,Lookups!$C$135:$D$140,2,FALSE)))),Lookups!$H$19:$J$100,3,FALSE),
IFERROR($D20*VLOOKUP($C20&amp;"|"&amp;VLOOKUP('Stage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0" s="180"/>
      <c r="I20" s="181"/>
      <c r="J20" s="181"/>
      <c r="K20" s="181"/>
    </row>
    <row r="21" spans="1:11">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232" t="str">
        <f>IF(
OR(ISBLANK($C21),ISBLANK($D21),ISBLANK($E$10),ISBLANK($E$9),ISBLANK($E$11),$C21="Residential urban land",$C21="Commercial/industrial urban land",$C21="Open urban land",$C21="Greenspace",$C21="Community food growing",$C21="Woodland",$C21="Shrub",$C21="Water"),"",IFERROR($D21*VLOOKUP((IF(
OR($C21="Residential urban land",$C21="Commercial/industrial urban land",$C21="Open urban land",$C21="Greenspace",$C21="Community food growing",$C21="Woodland",$C21="Shrub",$C21="Water"),"|||"&amp;$C21,(VLOOKUP('Stage 2'!$E$9,Lookups!$C$135:$D$140,2,FALSE)&amp;"|"&amp;$C21&amp;"|"&amp;VLOOKUP('Stage 2'!$E$12,Lookups!$C$144:$D$145,2,FALSE)&amp;"|"&amp;VLOOKUP('Stage 2'!$E$11,Lookups!$C$104:$E$126,3,FALSE)&amp;"|"&amp;VLOOKUP($E$10,Lookups!$C$135:$D$140,2,FALSE)))),Lookups!$H$19:$J$100,3,FALSE),
IFERROR($D21*VLOOKUP($C21&amp;"|"&amp;VLOOKUP('Stage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1" s="174"/>
    </row>
    <row r="22" spans="1:11">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232" t="str">
        <f>IF(
OR(ISBLANK($C22),ISBLANK($D22),ISBLANK($E$10),ISBLANK($E$9),ISBLANK($E$11),$C22="Residential urban land",$C22="Commercial/industrial urban land",$C22="Open urban land",$C22="Greenspace",$C22="Community food growing",$C22="Woodland",$C22="Shrub",$C22="Water"),"",IFERROR($D22*VLOOKUP((IF(
OR($C22="Residential urban land",$C22="Commercial/industrial urban land",$C22="Open urban land",$C22="Greenspace",$C22="Community food growing",$C22="Woodland",$C22="Shrub",$C22="Water"),"|||"&amp;$C22,(VLOOKUP('Stage 2'!$E$9,Lookups!$C$135:$D$140,2,FALSE)&amp;"|"&amp;$C22&amp;"|"&amp;VLOOKUP('Stage 2'!$E$12,Lookups!$C$144:$D$145,2,FALSE)&amp;"|"&amp;VLOOKUP('Stage 2'!$E$11,Lookups!$C$104:$E$126,3,FALSE)&amp;"|"&amp;VLOOKUP($E$10,Lookups!$C$135:$D$140,2,FALSE)))),Lookups!$H$19:$J$100,3,FALSE),
IFERROR($D22*VLOOKUP($C22&amp;"|"&amp;VLOOKUP('Stage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2" s="174"/>
    </row>
    <row r="23" spans="1:11">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232" t="str">
        <f>IF(
OR(ISBLANK($C23),ISBLANK($D23),ISBLANK($E$10),ISBLANK($E$9),ISBLANK($E$11),$C23="Residential urban land",$C23="Commercial/industrial urban land",$C23="Open urban land",$C23="Greenspace",$C23="Community food growing",$C23="Woodland",$C23="Shrub",$C23="Water"),"",IFERROR($D23*VLOOKUP((IF(
OR($C23="Residential urban land",$C23="Commercial/industrial urban land",$C23="Open urban land",$C23="Greenspace",$C23="Community food growing",$C23="Woodland",$C23="Shrub",$C23="Water"),"|||"&amp;$C23,(VLOOKUP('Stage 2'!$E$9,Lookups!$C$135:$D$140,2,FALSE)&amp;"|"&amp;$C23&amp;"|"&amp;VLOOKUP('Stage 2'!$E$12,Lookups!$C$144:$D$145,2,FALSE)&amp;"|"&amp;VLOOKUP('Stage 2'!$E$11,Lookups!$C$104:$E$126,3,FALSE)&amp;"|"&amp;VLOOKUP($E$10,Lookups!$C$135:$D$140,2,FALSE)))),Lookups!$H$19:$J$100,3,FALSE),
IFERROR($D23*VLOOKUP($C23&amp;"|"&amp;VLOOKUP('Stage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3" s="174"/>
    </row>
    <row r="24" spans="1:11">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232" t="str">
        <f>IF(
OR(ISBLANK($C24),ISBLANK($D24),ISBLANK($E$10),ISBLANK($E$9),ISBLANK($E$11),$C24="Residential urban land",$C24="Commercial/industrial urban land",$C24="Open urban land",$C24="Greenspace",$C24="Community food growing",$C24="Woodland",$C24="Shrub",$C24="Water"),"",IFERROR($D24*VLOOKUP((IF(
OR($C24="Residential urban land",$C24="Commercial/industrial urban land",$C24="Open urban land",$C24="Greenspace",$C24="Community food growing",$C24="Woodland",$C24="Shrub",$C24="Water"),"|||"&amp;$C24,(VLOOKUP('Stage 2'!$E$9,Lookups!$C$135:$D$140,2,FALSE)&amp;"|"&amp;$C24&amp;"|"&amp;VLOOKUP('Stage 2'!$E$12,Lookups!$C$144:$D$145,2,FALSE)&amp;"|"&amp;VLOOKUP('Stage 2'!$E$11,Lookups!$C$104:$E$126,3,FALSE)&amp;"|"&amp;VLOOKUP($E$10,Lookups!$C$135:$D$140,2,FALSE)))),Lookups!$H$19:$J$100,3,FALSE),
IFERROR($D24*VLOOKUP($C24&amp;"|"&amp;VLOOKUP('Stage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4" s="174"/>
    </row>
    <row r="25" spans="1:11">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232" t="str">
        <f>IF(
OR(ISBLANK($C25),ISBLANK($D25),ISBLANK($E$10),ISBLANK($E$9),ISBLANK($E$11),$C25="Residential urban land",$C25="Commercial/industrial urban land",$C25="Open urban land",$C25="Greenspace",$C25="Community food growing",$C25="Woodland",$C25="Shrub",$C25="Water"),"",IFERROR($D25*VLOOKUP((IF(
OR($C25="Residential urban land",$C25="Commercial/industrial urban land",$C25="Open urban land",$C25="Greenspace",$C25="Community food growing",$C25="Woodland",$C25="Shrub",$C25="Water"),"|||"&amp;$C25,(VLOOKUP('Stage 2'!$E$9,Lookups!$C$135:$D$140,2,FALSE)&amp;"|"&amp;$C25&amp;"|"&amp;VLOOKUP('Stage 2'!$E$12,Lookups!$C$144:$D$145,2,FALSE)&amp;"|"&amp;VLOOKUP('Stage 2'!$E$11,Lookups!$C$104:$E$126,3,FALSE)&amp;"|"&amp;VLOOKUP($E$10,Lookups!$C$135:$D$140,2,FALSE)))),Lookups!$H$19:$J$100,3,FALSE),
IFERROR($D25*VLOOKUP($C25&amp;"|"&amp;VLOOKUP('Stage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5" s="174"/>
    </row>
    <row r="26" spans="1:11">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232" t="str">
        <f>IF(
OR(ISBLANK($C26),ISBLANK($D26),ISBLANK($E$10),ISBLANK($E$9),ISBLANK($E$11),$C26="Residential urban land",$C26="Commercial/industrial urban land",$C26="Open urban land",$C26="Greenspace",$C26="Community food growing",$C26="Woodland",$C26="Shrub",$C26="Water"),"",IFERROR($D26*VLOOKUP((IF(
OR($C26="Residential urban land",$C26="Commercial/industrial urban land",$C26="Open urban land",$C26="Greenspace",$C26="Community food growing",$C26="Woodland",$C26="Shrub",$C26="Water"),"|||"&amp;$C26,(VLOOKUP('Stage 2'!$E$9,Lookups!$C$135:$D$140,2,FALSE)&amp;"|"&amp;$C26&amp;"|"&amp;VLOOKUP('Stage 2'!$E$12,Lookups!$C$144:$D$145,2,FALSE)&amp;"|"&amp;VLOOKUP('Stage 2'!$E$11,Lookups!$C$104:$E$126,3,FALSE)&amp;"|"&amp;VLOOKUP($E$10,Lookups!$C$135:$D$140,2,FALSE)))),Lookups!$H$19:$J$100,3,FALSE),
IFERROR($D26*VLOOKUP($C26&amp;"|"&amp;VLOOKUP('Stage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6" s="174"/>
    </row>
    <row r="27" spans="1:11">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232" t="str">
        <f>IF(
OR(ISBLANK($C27),ISBLANK($D27),ISBLANK($E$10),ISBLANK($E$9),ISBLANK($E$11),$C27="Residential urban land",$C27="Commercial/industrial urban land",$C27="Open urban land",$C27="Greenspace",$C27="Community food growing",$C27="Woodland",$C27="Shrub",$C27="Water"),"",IFERROR($D27*VLOOKUP((IF(
OR($C27="Residential urban land",$C27="Commercial/industrial urban land",$C27="Open urban land",$C27="Greenspace",$C27="Community food growing",$C27="Woodland",$C27="Shrub",$C27="Water"),"|||"&amp;$C27,(VLOOKUP('Stage 2'!$E$9,Lookups!$C$135:$D$140,2,FALSE)&amp;"|"&amp;$C27&amp;"|"&amp;VLOOKUP('Stage 2'!$E$12,Lookups!$C$144:$D$145,2,FALSE)&amp;"|"&amp;VLOOKUP('Stage 2'!$E$11,Lookups!$C$104:$E$126,3,FALSE)&amp;"|"&amp;VLOOKUP($E$10,Lookups!$C$135:$D$140,2,FALSE)))),Lookups!$H$19:$J$100,3,FALSE),
IFERROR($D27*VLOOKUP($C27&amp;"|"&amp;VLOOKUP('Stage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7" s="174"/>
    </row>
    <row r="28" spans="1:11">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232" t="str">
        <f>IF(
OR(ISBLANK($C28),ISBLANK($D28),ISBLANK($E$10),ISBLANK($E$9),ISBLANK($E$11),$C28="Residential urban land",$C28="Commercial/industrial urban land",$C28="Open urban land",$C28="Greenspace",$C28="Community food growing",$C28="Woodland",$C28="Shrub",$C28="Water"),"",IFERROR($D28*VLOOKUP((IF(
OR($C28="Residential urban land",$C28="Commercial/industrial urban land",$C28="Open urban land",$C28="Greenspace",$C28="Community food growing",$C28="Woodland",$C28="Shrub",$C28="Water"),"|||"&amp;$C28,(VLOOKUP('Stage 2'!$E$9,Lookups!$C$135:$D$140,2,FALSE)&amp;"|"&amp;$C28&amp;"|"&amp;VLOOKUP('Stage 2'!$E$12,Lookups!$C$144:$D$145,2,FALSE)&amp;"|"&amp;VLOOKUP('Stage 2'!$E$11,Lookups!$C$104:$E$126,3,FALSE)&amp;"|"&amp;VLOOKUP($E$10,Lookups!$C$135:$D$140,2,FALSE)))),Lookups!$H$19:$J$100,3,FALSE),
IFERROR($D28*VLOOKUP($C28&amp;"|"&amp;VLOOKUP('Stage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8" s="174"/>
      <c r="J28" s="182"/>
    </row>
    <row r="29" spans="1:11">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232" t="str">
        <f>IF(
OR(ISBLANK($C29),ISBLANK($D29),ISBLANK($E$10),ISBLANK($E$9),ISBLANK($E$11),$C29="Residential urban land",$C29="Commercial/industrial urban land",$C29="Open urban land",$C29="Greenspace",$C29="Community food growing",$C29="Woodland",$C29="Shrub",$C29="Water"),"",IFERROR($D29*VLOOKUP((IF(
OR($C29="Residential urban land",$C29="Commercial/industrial urban land",$C29="Open urban land",$C29="Greenspace",$C29="Community food growing",$C29="Woodland",$C29="Shrub",$C29="Water"),"|||"&amp;$C29,(VLOOKUP('Stage 2'!$E$9,Lookups!$C$135:$D$140,2,FALSE)&amp;"|"&amp;$C29&amp;"|"&amp;VLOOKUP('Stage 2'!$E$12,Lookups!$C$144:$D$145,2,FALSE)&amp;"|"&amp;VLOOKUP('Stage 2'!$E$11,Lookups!$C$104:$E$126,3,FALSE)&amp;"|"&amp;VLOOKUP($E$10,Lookups!$C$135:$D$140,2,FALSE)))),Lookups!$H$19:$J$100,3,FALSE),
IFERROR($D29*VLOOKUP($C29&amp;"|"&amp;VLOOKUP('Stage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9" s="174"/>
    </row>
    <row r="30" spans="1:11">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232" t="str">
        <f>IF(
OR(ISBLANK($C30),ISBLANK($D30),ISBLANK($E$10),ISBLANK($E$9),ISBLANK($E$11),$C30="Residential urban land",$C30="Commercial/industrial urban land",$C30="Open urban land",$C30="Greenspace",$C30="Community food growing",$C30="Woodland",$C30="Shrub",$C30="Water"),"",IFERROR($D30*VLOOKUP((IF(
OR($C30="Residential urban land",$C30="Commercial/industrial urban land",$C30="Open urban land",$C30="Greenspace",$C30="Community food growing",$C30="Woodland",$C30="Shrub",$C30="Water"),"|||"&amp;$C30,(VLOOKUP('Stage 2'!$E$9,Lookups!$C$135:$D$140,2,FALSE)&amp;"|"&amp;$C30&amp;"|"&amp;VLOOKUP('Stage 2'!$E$12,Lookups!$C$144:$D$145,2,FALSE)&amp;"|"&amp;VLOOKUP('Stage 2'!$E$11,Lookups!$C$104:$E$126,3,FALSE)&amp;"|"&amp;VLOOKUP($E$10,Lookups!$C$135:$D$140,2,FALSE)))),Lookups!$H$19:$J$100,3,FALSE),
IFERROR($D30*VLOOKUP($C30&amp;"|"&amp;VLOOKUP('Stage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0" s="174"/>
    </row>
    <row r="31" spans="1:11" ht="15.75" thickBot="1">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232" t="str">
        <f>IF(
OR(ISBLANK($C31),ISBLANK($D31),ISBLANK($E$10),ISBLANK($E$9),ISBLANK($E$11),$C31="Residential urban land",$C31="Commercial/industrial urban land",$C31="Open urban land",$C31="Greenspace",$C31="Community food growing",$C31="Woodland",$C31="Shrub",$C31="Water"),"",IFERROR($D31*VLOOKUP((IF(
OR($C31="Residential urban land",$C31="Commercial/industrial urban land",$C31="Open urban land",$C31="Greenspace",$C31="Community food growing",$C31="Woodland",$C31="Shrub",$C31="Water"),"|||"&amp;$C31,(VLOOKUP('Stage 2'!$E$9,Lookups!$C$135:$D$140,2,FALSE)&amp;"|"&amp;$C31&amp;"|"&amp;VLOOKUP('Stage 2'!$E$12,Lookups!$C$144:$D$145,2,FALSE)&amp;"|"&amp;VLOOKUP('Stage 2'!$E$11,Lookups!$C$104:$E$126,3,FALSE)&amp;"|"&amp;VLOOKUP($E$10,Lookups!$C$135:$D$140,2,FALSE)))),Lookups!$H$19:$J$100,3,FALSE),
IFERROR($D31*VLOOKUP($C31&amp;"|"&amp;VLOOKUP('Stage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1" s="174"/>
    </row>
    <row r="32" spans="1:11">
      <c r="A32" s="153"/>
      <c r="B32" s="1"/>
      <c r="C32" s="75" t="s">
        <v>124</v>
      </c>
      <c r="D32" s="102">
        <f>SUM(D15:D31)</f>
        <v>0.1</v>
      </c>
      <c r="E32" s="103">
        <f>SUM(E15:E31)</f>
        <v>0.12083187269999995</v>
      </c>
      <c r="F32" s="201">
        <f>SUM(F15:F31)</f>
        <v>0.82014062247999964</v>
      </c>
      <c r="G32" s="1"/>
      <c r="H32" s="124"/>
    </row>
    <row r="33" spans="1:8" ht="15.75" thickBot="1">
      <c r="A33" s="153"/>
      <c r="B33" s="167"/>
      <c r="C33" s="149"/>
      <c r="D33" s="149"/>
      <c r="E33" s="149"/>
      <c r="F33" s="149"/>
      <c r="G33" s="149"/>
      <c r="H33" s="150"/>
    </row>
    <row r="34" spans="1:8" ht="15.75" thickTop="1"/>
  </sheetData>
  <sheetProtection algorithmName="SHA-512" hashValue="d0F6Aj8f2KuyoXaBTRM2f/1ozyYxWcyAD+BCiu3eSu/JSgBZL3YcBukcLI4CHxUin3kYERchBZivOu218cBISA==" saltValue="ZxQURSe6Pam7n1G6MKNukg=="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173" yWindow="764"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73" yWindow="764"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Normal="100" workbookViewId="0">
      <selection activeCell="D17" sqref="D17"/>
    </sheetView>
  </sheetViews>
  <sheetFormatPr defaultColWidth="9.140625" defaultRowHeight="15"/>
  <cols>
    <col min="1" max="1" width="9.140625" style="152"/>
    <col min="2" max="2" width="4.7109375" style="152" customWidth="1"/>
    <col min="3" max="3" width="32" style="152" customWidth="1"/>
    <col min="4" max="4" width="12.42578125" style="152" customWidth="1"/>
    <col min="5" max="5" width="19.5703125" style="152" customWidth="1"/>
    <col min="6" max="6" width="18.85546875" style="152" customWidth="1"/>
    <col min="7" max="7" width="4.5703125" style="152" customWidth="1"/>
    <col min="8" max="16384" width="9.140625" style="152"/>
  </cols>
  <sheetData>
    <row r="3" spans="1:9">
      <c r="A3" s="153"/>
      <c r="B3" s="268" t="s">
        <v>125</v>
      </c>
      <c r="C3" s="269"/>
      <c r="D3" s="269"/>
      <c r="E3" s="269"/>
      <c r="F3" s="269"/>
      <c r="G3" s="270"/>
    </row>
    <row r="4" spans="1:9">
      <c r="A4" s="153"/>
      <c r="B4" s="268"/>
      <c r="C4" s="269"/>
      <c r="D4" s="269"/>
      <c r="E4" s="269"/>
      <c r="F4" s="269"/>
      <c r="G4" s="270"/>
    </row>
    <row r="5" spans="1:9">
      <c r="A5" s="153"/>
      <c r="B5" s="268"/>
      <c r="C5" s="269"/>
      <c r="D5" s="269"/>
      <c r="E5" s="269"/>
      <c r="F5" s="269"/>
      <c r="G5" s="270"/>
    </row>
    <row r="6" spans="1:9" ht="17.25">
      <c r="A6" s="153"/>
      <c r="B6" s="1"/>
      <c r="C6" s="1"/>
      <c r="D6" s="1"/>
      <c r="E6" s="1"/>
      <c r="F6" s="1"/>
      <c r="G6" s="165"/>
    </row>
    <row r="7" spans="1:9" ht="18" customHeight="1">
      <c r="A7" s="153"/>
      <c r="B7" s="1"/>
      <c r="C7" s="273" t="s">
        <v>80</v>
      </c>
      <c r="D7" s="273"/>
      <c r="E7" s="273"/>
      <c r="F7" s="273"/>
      <c r="G7" s="164"/>
    </row>
    <row r="8" spans="1:9">
      <c r="A8" s="153"/>
      <c r="B8" s="1"/>
      <c r="C8" s="1"/>
      <c r="D8" s="1"/>
      <c r="E8" s="1"/>
      <c r="F8" s="1"/>
      <c r="G8" s="124"/>
    </row>
    <row r="9" spans="1:9" ht="68.25" customHeight="1" thickBot="1">
      <c r="A9" s="153"/>
      <c r="B9" s="1"/>
      <c r="C9" s="76" t="s">
        <v>126</v>
      </c>
      <c r="D9" s="76" t="s">
        <v>120</v>
      </c>
      <c r="E9" s="73" t="s">
        <v>121</v>
      </c>
      <c r="F9" s="74" t="s">
        <v>127</v>
      </c>
      <c r="G9" s="124"/>
    </row>
    <row r="10" spans="1:9">
      <c r="A10" s="153"/>
      <c r="B10" s="1"/>
      <c r="C10" s="110" t="s">
        <v>128</v>
      </c>
      <c r="D10" s="118">
        <v>0.1</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0.16513689268999995</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1.5377636671499995</v>
      </c>
      <c r="G10" s="124"/>
    </row>
    <row r="11" spans="1:9">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75" thickBot="1">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c r="A27" s="153"/>
      <c r="B27" s="1"/>
      <c r="C27" s="71" t="s">
        <v>124</v>
      </c>
      <c r="D27" s="144">
        <f>SUM(D10:D26)</f>
        <v>0.1</v>
      </c>
      <c r="E27" s="103">
        <f>SUM(E10:E26)</f>
        <v>0.16513689268999995</v>
      </c>
      <c r="F27" s="104">
        <f>SUM(F10:F26)</f>
        <v>1.5377636671499995</v>
      </c>
      <c r="G27" s="124"/>
    </row>
    <row r="28" spans="1:7" ht="15.75" thickBot="1">
      <c r="A28" s="153"/>
      <c r="B28" s="167"/>
      <c r="C28" s="149"/>
      <c r="D28" s="149"/>
      <c r="E28" s="149"/>
      <c r="F28" s="149"/>
      <c r="G28" s="150"/>
    </row>
    <row r="29" spans="1:7" ht="15.75" thickTop="1"/>
  </sheetData>
  <sheetProtection algorithmName="SHA-512" hashValue="a7/N1KQkYuGDdCZ/ThujyoWXk8HlBCgdUTk00kslTu6wPxpt0EM2GbeBDIBYOdtJ2DG9qFzn/WRsnVzIfBlGTA==" saltValue="mZ5+gmD6b6Bm73OXYe6OT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2">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C11:C26</xm:sqref>
        </x14:dataValidation>
        <x14:dataValidation type="list" allowBlank="1" showInputMessage="1" showErrorMessage="1" errorTitle="Landcover" error="Please select all pre exisitng landcover types." prompt="Select post-development land use types from the drop down list." xr:uid="{1AF01F13-11D5-4733-B94A-D50AFED257B9}">
          <x14:formula1>
            <xm:f>Lookups!$G$139:$G$146</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zoomScaleNormal="100" workbookViewId="0">
      <selection activeCell="G22" sqref="G22:G25"/>
    </sheetView>
  </sheetViews>
  <sheetFormatPr defaultColWidth="9.140625" defaultRowHeight="15"/>
  <cols>
    <col min="1" max="1" width="9.140625" style="152"/>
    <col min="2" max="2" width="4.85546875" style="152" customWidth="1"/>
    <col min="3" max="3" width="30.42578125" style="152" customWidth="1"/>
    <col min="4" max="4" width="26.85546875" style="152" customWidth="1"/>
    <col min="5" max="5" width="9.140625" style="152"/>
    <col min="6" max="6" width="22.140625" style="152" customWidth="1"/>
    <col min="7" max="7" width="23.28515625" style="152" customWidth="1"/>
    <col min="8" max="10" width="9.140625" style="152"/>
    <col min="11" max="11" width="7.140625" style="152" customWidth="1"/>
    <col min="12" max="16384" width="9.140625" style="152"/>
  </cols>
  <sheetData>
    <row r="2" spans="2:12" ht="15.75" thickBot="1"/>
    <row r="3" spans="2:12" ht="15.75" thickTop="1">
      <c r="B3" s="278" t="s">
        <v>129</v>
      </c>
      <c r="C3" s="279"/>
      <c r="D3" s="279"/>
      <c r="E3" s="279"/>
      <c r="F3" s="279"/>
      <c r="G3" s="279"/>
      <c r="H3" s="280"/>
    </row>
    <row r="4" spans="2:12">
      <c r="B4" s="268"/>
      <c r="C4" s="269"/>
      <c r="D4" s="269"/>
      <c r="E4" s="269"/>
      <c r="F4" s="269"/>
      <c r="G4" s="269"/>
      <c r="H4" s="270"/>
    </row>
    <row r="5" spans="2:12">
      <c r="B5" s="268"/>
      <c r="C5" s="269"/>
      <c r="D5" s="269"/>
      <c r="E5" s="269"/>
      <c r="F5" s="269"/>
      <c r="G5" s="269"/>
      <c r="H5" s="270"/>
    </row>
    <row r="6" spans="2:12" ht="17.25">
      <c r="B6" s="146"/>
      <c r="C6" s="1"/>
      <c r="D6" s="1"/>
      <c r="E6" s="1"/>
      <c r="F6" s="1"/>
      <c r="G6" s="1"/>
      <c r="H6" s="124"/>
      <c r="L6" s="159"/>
    </row>
    <row r="7" spans="2:12" ht="18">
      <c r="B7" s="146"/>
      <c r="C7" s="277" t="s">
        <v>130</v>
      </c>
      <c r="D7" s="277"/>
      <c r="E7" s="1"/>
      <c r="F7" s="1"/>
      <c r="G7" s="1"/>
      <c r="H7" s="124"/>
      <c r="L7" s="159"/>
    </row>
    <row r="8" spans="2:12" ht="18" hidden="1" customHeight="1">
      <c r="B8" s="146"/>
      <c r="C8" s="1"/>
      <c r="D8" s="1"/>
      <c r="E8" s="1"/>
      <c r="F8" s="1"/>
      <c r="G8" s="1"/>
      <c r="H8" s="183"/>
      <c r="I8" s="186"/>
      <c r="J8" s="187"/>
      <c r="L8" s="161"/>
    </row>
    <row r="9" spans="2:12" ht="12" hidden="1" customHeight="1">
      <c r="B9" s="146"/>
      <c r="C9" s="1"/>
      <c r="D9" s="1"/>
      <c r="E9" s="1"/>
      <c r="F9" s="1"/>
      <c r="G9" s="1"/>
      <c r="H9" s="184"/>
      <c r="I9" s="188"/>
      <c r="J9" s="189"/>
      <c r="L9" s="161"/>
    </row>
    <row r="10" spans="2:12" ht="18" hidden="1" thickBot="1">
      <c r="B10" s="146"/>
      <c r="C10" s="68" t="s">
        <v>131</v>
      </c>
      <c r="D10" s="98">
        <f>'Stage 1'!D30</f>
        <v>0.62484047999999992</v>
      </c>
      <c r="E10" s="22"/>
      <c r="F10" s="1"/>
      <c r="G10" s="1"/>
      <c r="H10" s="184"/>
      <c r="I10" s="188"/>
      <c r="J10" s="189"/>
      <c r="L10" s="161"/>
    </row>
    <row r="11" spans="2:12" ht="21" hidden="1" customHeight="1" thickBot="1">
      <c r="B11" s="146"/>
      <c r="C11" s="69" t="s">
        <v>132</v>
      </c>
      <c r="D11" s="99">
        <f>'Stage 3'!E27-'Stage 2'!E32</f>
        <v>4.430501999E-2</v>
      </c>
      <c r="E11" s="24"/>
      <c r="F11" s="1"/>
      <c r="G11" s="1"/>
      <c r="H11" s="184"/>
      <c r="I11" s="190"/>
      <c r="J11" s="189"/>
      <c r="K11" s="159"/>
      <c r="L11" s="162"/>
    </row>
    <row r="12" spans="2:12" ht="18" hidden="1" thickBot="1">
      <c r="B12" s="146"/>
      <c r="C12" s="69" t="s">
        <v>133</v>
      </c>
      <c r="D12" s="65">
        <f>D10+D11</f>
        <v>0.66914549998999995</v>
      </c>
      <c r="E12" s="25"/>
      <c r="F12" s="1"/>
      <c r="G12" s="1"/>
      <c r="H12" s="164"/>
      <c r="I12" s="191"/>
      <c r="J12" s="161"/>
      <c r="K12" s="161"/>
      <c r="L12" s="162"/>
    </row>
    <row r="13" spans="2:12" ht="29.25" hidden="1" customHeight="1">
      <c r="B13" s="146"/>
      <c r="C13" s="15" t="s">
        <v>134</v>
      </c>
      <c r="D13" s="100">
        <f>D12*1.2</f>
        <v>0.80297459998799992</v>
      </c>
      <c r="E13" s="26"/>
      <c r="F13" s="1"/>
      <c r="G13" s="1"/>
      <c r="H13" s="166"/>
      <c r="I13" s="192"/>
      <c r="J13" s="162"/>
      <c r="K13" s="162"/>
    </row>
    <row r="14" spans="2:12" ht="11.25" hidden="1" customHeight="1">
      <c r="B14" s="146"/>
      <c r="C14" s="22"/>
      <c r="D14" s="185"/>
      <c r="E14" s="22"/>
      <c r="F14" s="1"/>
      <c r="G14" s="1"/>
      <c r="H14" s="124"/>
    </row>
    <row r="15" spans="2:12" hidden="1">
      <c r="B15" s="146"/>
      <c r="C15" s="22"/>
      <c r="D15" s="185"/>
      <c r="E15" s="22"/>
      <c r="F15" s="1"/>
      <c r="G15" s="1"/>
      <c r="H15" s="124"/>
    </row>
    <row r="16" spans="2:12" ht="15.75" hidden="1" thickBot="1">
      <c r="B16" s="146"/>
      <c r="C16" s="68" t="s">
        <v>135</v>
      </c>
      <c r="D16" s="98">
        <f>'Stage 1'!D35</f>
        <v>28.927799999999991</v>
      </c>
      <c r="E16" s="22"/>
      <c r="F16" s="1"/>
      <c r="G16" s="1"/>
      <c r="H16" s="124"/>
    </row>
    <row r="17" spans="2:8" ht="15.75" hidden="1" thickBot="1">
      <c r="B17" s="146"/>
      <c r="C17" s="69" t="s">
        <v>136</v>
      </c>
      <c r="D17" s="101">
        <f>'Stage 3'!F27-'Stage 2'!F32</f>
        <v>0.71762304466999982</v>
      </c>
      <c r="E17" s="22"/>
      <c r="F17" s="1"/>
      <c r="G17" s="1"/>
      <c r="H17" s="124"/>
    </row>
    <row r="18" spans="2:8" ht="15.75" hidden="1" thickBot="1">
      <c r="B18" s="146"/>
      <c r="C18" s="67" t="s">
        <v>137</v>
      </c>
      <c r="D18" s="88">
        <f>D16+D17</f>
        <v>29.64542304466999</v>
      </c>
      <c r="E18" s="18"/>
      <c r="F18" s="1"/>
      <c r="G18" s="1"/>
      <c r="H18" s="124"/>
    </row>
    <row r="19" spans="2:8" hidden="1">
      <c r="B19" s="146"/>
      <c r="C19" s="15" t="s">
        <v>138</v>
      </c>
      <c r="D19" s="100">
        <f>D18*1.2</f>
        <v>35.574507653603987</v>
      </c>
      <c r="E19" s="18"/>
      <c r="F19" s="1"/>
      <c r="G19" s="1"/>
      <c r="H19" s="124"/>
    </row>
    <row r="20" spans="2:8" ht="17.25">
      <c r="B20" s="146"/>
      <c r="C20" s="9"/>
      <c r="D20" s="11"/>
      <c r="E20" s="12"/>
      <c r="F20" s="1"/>
      <c r="G20" s="1"/>
      <c r="H20" s="124"/>
    </row>
    <row r="21" spans="2:8" ht="24.75" customHeight="1">
      <c r="B21" s="146"/>
      <c r="C21" s="281" t="str">
        <f>IFERROR(IF(AND('Stage 1'!$D$9&lt;DATE(2025,1,1),OR((VLOOKUP('Stage 1'!$D$14,Lookups!$C$8:$G$13,2,FALSE))&gt;(VLOOKUP('Stage 1'!$D$14,Lookups!$C$8:$G$13,4,FALSE)),(VLOOKUP('Stage 1'!$D$14,Lookups!$C$8:$G$13,3,FALSE))&gt;(VLOOKUP('Stage 1'!$D$14,Lookups!$C$8:$G$13,5,FALSE)))),"Post-2025 Annual Nutrient Budget","Annual Nutrient Budget"),"")</f>
        <v>Annual Nutrient Budget</v>
      </c>
      <c r="D21" s="281"/>
      <c r="E21" s="12"/>
      <c r="F21" s="281" t="str">
        <f>IFERROR(IF(AND('Stage 1'!$D$9&lt;DATE(2025,1,1),OR((VLOOKUP('Stage 1'!$D$14,Lookups!$C$8:$G$13,2,FALSE))&gt;(VLOOKUP('Stage 1'!$D$14,Lookups!$C$8:$G$13,4,FALSE)),(VLOOKUP('Stage 1'!$D$14,Lookups!$C$8:$G$13,3,FALSE))&gt;(VLOOKUP('Stage 1'!$D$14,Lookups!$C$8:$G$13,5,FALSE)))),"Pre-2025 Annual Nutrient Budget",""),"")</f>
        <v/>
      </c>
      <c r="G21" s="281"/>
      <c r="H21" s="124"/>
    </row>
    <row r="22" spans="2:8" ht="15" customHeight="1">
      <c r="B22" s="146"/>
      <c r="C22" s="282" t="s">
        <v>139</v>
      </c>
      <c r="D22" s="284" t="str">
        <f>IF(ROUND(D13,2)&lt;0,0&amp;" kg TP/year",ROUND(D13,2)&amp;" kg TP/year")</f>
        <v>0.8 kg TP/year</v>
      </c>
      <c r="E22" s="1"/>
      <c r="F22" s="282" t="str">
        <f>IFERROR(IF(AND('Stage 1'!$D$9&lt;DATE(2025,1,1),OR((VLOOKUP('Stage 1'!$D$14,Lookups!$C$8:$G$13,2,FALSE))&gt;(VLOOKUP('Stage 1'!$D$14,Lookups!$C$8:$G$13,4,FALSE)),(VLOOKUP('Stage 1'!$D$14,Lookups!$C$8:$G$13,3,FALSE))&gt;(VLOOKUP('Stage 1'!$D$14,Lookups!$C$8:$G$13,5,FALSE)))),"The pre-2025 annual phosphorus load to mitigate is:",""),"")</f>
        <v/>
      </c>
      <c r="G22" s="283" t="str">
        <f>IFERROR(IF(AND('Stage 1'!$D$9&lt;DATE(2025,1,1),OR((VLOOKUP('Stage 1'!$D$14,Lookups!$C$8:$G$13,2,FALSE))&gt;(VLOOKUP('Stage 1'!$D$14,Lookups!$C$8:$G$13,4,FALSE)),(VLOOKUP('Stage 1'!$D$14,Lookups!$C$8:$G$13,3,FALSE))&gt;(VLOOKUP('Stage 1'!$D$14,Lookups!$C$8:$G$13,5,FALSE)))),IF(ROUND(('Stage 3'!E27-'Stage 2'!E32+'Stage 1'!H23)*1.2,2)&lt;0,0&amp;" kg TP/year",ROUND(('Stage 3'!E27-'Stage 2'!E32+'Stage 1'!H23)*1.2,2)&amp;" kg TP/year"),""),"")</f>
        <v/>
      </c>
      <c r="H22" s="124"/>
    </row>
    <row r="23" spans="2:8" ht="15" customHeight="1">
      <c r="B23" s="146"/>
      <c r="C23" s="282"/>
      <c r="D23" s="284"/>
      <c r="E23" s="1"/>
      <c r="F23" s="282"/>
      <c r="G23" s="283"/>
      <c r="H23" s="124"/>
    </row>
    <row r="24" spans="2:8" ht="15" customHeight="1">
      <c r="B24" s="146"/>
      <c r="C24" s="282"/>
      <c r="D24" s="284"/>
      <c r="E24" s="1"/>
      <c r="F24" s="282"/>
      <c r="G24" s="283"/>
      <c r="H24" s="124"/>
    </row>
    <row r="25" spans="2:8" ht="15" customHeight="1">
      <c r="B25" s="146"/>
      <c r="C25" s="282"/>
      <c r="D25" s="284"/>
      <c r="E25" s="1"/>
      <c r="F25" s="282"/>
      <c r="G25" s="283"/>
      <c r="H25" s="124"/>
    </row>
    <row r="26" spans="2:8" ht="15" customHeight="1">
      <c r="B26" s="146"/>
      <c r="C26" s="22"/>
      <c r="D26" s="54"/>
      <c r="E26" s="1"/>
      <c r="F26" s="1"/>
      <c r="G26" s="1"/>
      <c r="H26" s="124"/>
    </row>
    <row r="27" spans="2:8">
      <c r="B27" s="146"/>
      <c r="C27" s="22"/>
      <c r="D27" s="54"/>
      <c r="E27" s="1"/>
      <c r="F27" s="84"/>
      <c r="G27" s="1"/>
      <c r="H27" s="124"/>
    </row>
    <row r="28" spans="2:8" ht="15" customHeight="1">
      <c r="B28" s="146"/>
      <c r="C28" s="282" t="s">
        <v>140</v>
      </c>
      <c r="D28" s="284" t="str">
        <f>IF(ROUND(D19,2)&lt;0,0&amp;" kg TN/year",ROUND(D19,2)&amp;" kg TN/year")</f>
        <v>35.57 kg TN/year</v>
      </c>
      <c r="E28" s="1"/>
      <c r="F28" s="282" t="str">
        <f>IFERROR(IF(AND('Stage 1'!$D$9&lt;DATE(2025,1,1),OR((VLOOKUP('Stage 1'!$D$14,Lookups!$C$8:$G$13,2,FALSE))&gt;(VLOOKUP('Stage 1'!$D$14,Lookups!$C$8:$G$13,4,FALSE)),(VLOOKUP('Stage 1'!$D$14,Lookups!$C$8:$G$13,3,FALSE))&gt;(VLOOKUP('Stage 1'!$D$14,Lookups!$C$8:$G$13,5,FALSE)))),"The pre-2025 annual nitrogen load to mitigate is:",""),"")</f>
        <v/>
      </c>
      <c r="G28" s="283" t="str">
        <f>IFERROR(IF(AND('Stage 1'!$D$9&lt;DATE(2025,1,1),OR((VLOOKUP('Stage 1'!$D$14,Lookups!$C$8:$G$13,2,FALSE))&gt;(VLOOKUP('Stage 1'!$D$14,Lookups!$C$8:$G$13,4,FALSE)),(VLOOKUP('Stage 1'!$D$14,Lookups!$C$8:$G$13,3,FALSE))&gt;(VLOOKUP('Stage 1'!$D$14,Lookups!$C$8:$G$13,5,FALSE)))),IF(ROUND(('Stage 3'!F27-'Stage 2'!F32+'Stage 1'!H24)*1.2,2)&lt;0,0&amp;" kg TN/year",ROUND(('Stage 3'!F27-'Stage 2'!F32+'Stage 1'!H24)*1.2,2)&amp;" kg TN/year"),""),"")</f>
        <v/>
      </c>
      <c r="H28" s="124"/>
    </row>
    <row r="29" spans="2:8" ht="15.75" customHeight="1">
      <c r="B29" s="146"/>
      <c r="C29" s="282"/>
      <c r="D29" s="284"/>
      <c r="E29" s="1"/>
      <c r="F29" s="282"/>
      <c r="G29" s="283"/>
      <c r="H29" s="124"/>
    </row>
    <row r="30" spans="2:8" ht="15" customHeight="1">
      <c r="B30" s="146"/>
      <c r="C30" s="282"/>
      <c r="D30" s="284"/>
      <c r="E30" s="1"/>
      <c r="F30" s="282"/>
      <c r="G30" s="283"/>
      <c r="H30" s="124"/>
    </row>
    <row r="31" spans="2:8" ht="15.75" customHeight="1">
      <c r="B31" s="146"/>
      <c r="C31" s="282"/>
      <c r="D31" s="284"/>
      <c r="E31" s="1"/>
      <c r="F31" s="282"/>
      <c r="G31" s="283"/>
      <c r="H31" s="124"/>
    </row>
    <row r="32" spans="2:8" ht="15.75" thickBot="1">
      <c r="B32" s="167"/>
      <c r="C32" s="149"/>
      <c r="D32" s="149"/>
      <c r="E32" s="149"/>
      <c r="F32" s="149"/>
      <c r="G32" s="149"/>
      <c r="H32" s="150"/>
    </row>
    <row r="33" ht="15.75" thickTop="1"/>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c r="K6" s="6"/>
    </row>
    <row r="7" spans="2:11" ht="18" customHeight="1">
      <c r="F7" s="4"/>
      <c r="G7" s="5"/>
      <c r="H7" s="5"/>
      <c r="I7" s="4"/>
      <c r="K7" s="7"/>
    </row>
    <row r="8" spans="2:11" ht="12" customHeight="1">
      <c r="F8" s="3"/>
      <c r="G8" s="3"/>
      <c r="H8" s="3"/>
      <c r="I8" s="9"/>
      <c r="K8" s="7"/>
    </row>
    <row r="9" spans="2:11" ht="18" thickBot="1">
      <c r="B9" s="14" t="s">
        <v>131</v>
      </c>
      <c r="D9" s="22"/>
      <c r="E9" s="282" t="s">
        <v>141</v>
      </c>
      <c r="G9" s="3"/>
      <c r="H9" s="3"/>
      <c r="I9" s="9"/>
      <c r="K9" s="7"/>
    </row>
    <row r="10" spans="2:11" ht="21" customHeight="1" thickTop="1" thickBot="1">
      <c r="B10" s="15" t="s">
        <v>132</v>
      </c>
      <c r="D10" s="24"/>
      <c r="E10" s="282"/>
      <c r="G10" s="3"/>
      <c r="H10" s="3" t="s">
        <v>142</v>
      </c>
      <c r="I10" s="9"/>
      <c r="J10" s="6"/>
      <c r="K10" s="8"/>
    </row>
    <row r="11" spans="2:11" ht="18.75" thickTop="1" thickBot="1">
      <c r="B11" s="16" t="s">
        <v>133</v>
      </c>
      <c r="D11" s="25"/>
      <c r="E11" s="282"/>
      <c r="G11" s="7"/>
      <c r="H11" s="7" t="b">
        <f>IF(C33&lt;0,"Well done, you're in the clear…,""")</f>
        <v>0</v>
      </c>
      <c r="I11" s="7"/>
      <c r="J11" s="7"/>
      <c r="K11" s="8"/>
    </row>
    <row r="12" spans="2:11" ht="29.25" customHeight="1" thickTop="1">
      <c r="B12" s="17" t="s">
        <v>134</v>
      </c>
      <c r="D12" s="26"/>
      <c r="E12" s="282"/>
      <c r="G12" s="8"/>
      <c r="H12" s="8" t="s">
        <v>143</v>
      </c>
      <c r="I12" s="8"/>
      <c r="J12" s="8"/>
    </row>
    <row r="13" spans="2:11" ht="11.25" customHeight="1">
      <c r="B13" s="22"/>
      <c r="C13" s="22"/>
      <c r="D13" s="22"/>
      <c r="E13" s="22"/>
      <c r="F13" s="54"/>
    </row>
    <row r="14" spans="2:11">
      <c r="B14" s="22"/>
      <c r="C14" s="22"/>
      <c r="D14" s="22"/>
      <c r="E14" s="22"/>
      <c r="F14" s="54"/>
    </row>
    <row r="15" spans="2:11" ht="15.75" thickBot="1">
      <c r="B15" s="14" t="s">
        <v>135</v>
      </c>
      <c r="C15" s="51">
        <f>'Stage 1'!D35</f>
        <v>28.927799999999991</v>
      </c>
      <c r="D15" s="22"/>
      <c r="E15" s="282" t="s">
        <v>144</v>
      </c>
    </row>
    <row r="16" spans="2:11" ht="16.5" thickTop="1" thickBot="1">
      <c r="B16" s="15" t="s">
        <v>136</v>
      </c>
      <c r="C16" s="23">
        <f>'Stage 3'!F27-'Stage 2'!F32</f>
        <v>0.71762304466999982</v>
      </c>
      <c r="D16" s="22"/>
      <c r="E16" s="282"/>
    </row>
    <row r="17" spans="2:6" ht="16.5" thickTop="1" thickBot="1">
      <c r="B17" s="16" t="s">
        <v>137</v>
      </c>
      <c r="C17" s="52">
        <f>C15+C16</f>
        <v>29.64542304466999</v>
      </c>
      <c r="D17" s="18"/>
      <c r="E17" s="282"/>
    </row>
    <row r="18" spans="2:6" ht="15.75" thickTop="1">
      <c r="B18" s="17" t="s">
        <v>138</v>
      </c>
      <c r="C18" s="53">
        <f>C17*1.2</f>
        <v>35.574507653603987</v>
      </c>
      <c r="D18" s="18"/>
      <c r="E18" s="282"/>
    </row>
    <row r="19" spans="2:6" ht="17.25">
      <c r="B19" s="9"/>
      <c r="C19" s="11"/>
      <c r="D19" s="12"/>
    </row>
    <row r="20" spans="2:6" ht="17.25">
      <c r="B20" s="9"/>
      <c r="C20" s="11"/>
      <c r="D20" s="12"/>
    </row>
    <row r="21" spans="2:6" ht="17.25">
      <c r="B21" s="9"/>
      <c r="C21" s="12"/>
      <c r="D21" s="12"/>
    </row>
    <row r="22" spans="2:6" ht="17.25">
      <c r="B22" s="10"/>
      <c r="C22" s="13"/>
      <c r="D22" s="13"/>
    </row>
    <row r="24" spans="2:6" ht="15.75" thickBot="1">
      <c r="C24" s="51">
        <f>'Stage 1'!D30</f>
        <v>0.62484047999999992</v>
      </c>
      <c r="F24" s="284">
        <f>C33</f>
        <v>0.80297459998799992</v>
      </c>
    </row>
    <row r="25" spans="2:6" ht="15.75" thickTop="1">
      <c r="F25" s="284"/>
    </row>
    <row r="26" spans="2:6">
      <c r="F26" s="284"/>
    </row>
    <row r="27" spans="2:6" ht="15.75" thickBot="1">
      <c r="C27" s="23">
        <f>'Stage 3'!E27-'Stage 2'!E32</f>
        <v>4.430501999E-2</v>
      </c>
      <c r="F27" s="284"/>
    </row>
    <row r="28" spans="2:6" ht="15.75" thickTop="1"/>
    <row r="29" spans="2:6" ht="15.75" thickBot="1">
      <c r="F29" s="284">
        <f>C18</f>
        <v>35.574507653603987</v>
      </c>
    </row>
    <row r="30" spans="2:6" ht="16.5" thickTop="1" thickBot="1">
      <c r="C30" s="52">
        <f>C24+C27</f>
        <v>0.66914549998999995</v>
      </c>
      <c r="F30" s="284"/>
    </row>
    <row r="31" spans="2:6" ht="15.75" thickTop="1">
      <c r="F31" s="284"/>
    </row>
    <row r="32" spans="2:6" ht="15.75" thickBot="1">
      <c r="F32" s="284"/>
    </row>
    <row r="33" spans="3:3" ht="15.75" thickTop="1">
      <c r="C33" s="53">
        <f>C30*1.2</f>
        <v>0.80297459998799992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topLeftCell="A4" zoomScaleNormal="100" workbookViewId="0">
      <selection activeCell="E8" sqref="E8:E11"/>
    </sheetView>
  </sheetViews>
  <sheetFormatPr defaultColWidth="9.140625" defaultRowHeight="15"/>
  <cols>
    <col min="1" max="1" width="9.140625" style="152"/>
    <col min="2" max="2" width="4.85546875" style="152" customWidth="1"/>
    <col min="3" max="3" width="44.42578125" style="152" bestFit="1" customWidth="1"/>
    <col min="4" max="4" width="31.28515625" style="152" bestFit="1" customWidth="1"/>
    <col min="5" max="5" width="34" style="152" customWidth="1"/>
    <col min="6" max="6" width="31.5703125" style="152" customWidth="1"/>
    <col min="7" max="7" width="41.85546875" style="152" customWidth="1"/>
    <col min="8" max="8" width="51.28515625" style="152" customWidth="1"/>
    <col min="9" max="9" width="46.5703125" style="152" customWidth="1"/>
    <col min="10" max="10" width="39.85546875" style="152" bestFit="1" customWidth="1"/>
    <col min="11" max="11" width="36.85546875" style="152" customWidth="1"/>
    <col min="12" max="12" width="38.140625" style="152" bestFit="1" customWidth="1"/>
    <col min="13" max="15" width="28" style="152" customWidth="1"/>
    <col min="16" max="16" width="9" style="152" customWidth="1"/>
    <col min="17" max="16384" width="9.140625" style="152"/>
  </cols>
  <sheetData>
    <row r="1" spans="2:16" ht="35.25" customHeight="1" thickBot="1"/>
    <row r="2" spans="2:16" ht="15.75" thickTop="1">
      <c r="B2" s="278" t="s">
        <v>145</v>
      </c>
      <c r="C2" s="279"/>
      <c r="D2" s="279"/>
      <c r="E2" s="279"/>
      <c r="F2" s="279"/>
      <c r="G2" s="279"/>
      <c r="H2" s="279"/>
      <c r="I2" s="279"/>
      <c r="J2" s="279"/>
      <c r="K2" s="279"/>
      <c r="L2" s="279"/>
      <c r="M2" s="279"/>
      <c r="N2" s="279"/>
      <c r="O2" s="279"/>
      <c r="P2" s="280"/>
    </row>
    <row r="3" spans="2:16">
      <c r="B3" s="268"/>
      <c r="C3" s="269"/>
      <c r="D3" s="269"/>
      <c r="E3" s="269"/>
      <c r="F3" s="269"/>
      <c r="G3" s="269"/>
      <c r="H3" s="269"/>
      <c r="I3" s="269"/>
      <c r="J3" s="269"/>
      <c r="K3" s="269"/>
      <c r="L3" s="269"/>
      <c r="M3" s="269"/>
      <c r="N3" s="269"/>
      <c r="O3" s="269"/>
      <c r="P3" s="270"/>
    </row>
    <row r="4" spans="2:16">
      <c r="B4" s="268"/>
      <c r="C4" s="269"/>
      <c r="D4" s="269"/>
      <c r="E4" s="269"/>
      <c r="F4" s="269"/>
      <c r="G4" s="269"/>
      <c r="H4" s="269"/>
      <c r="I4" s="269"/>
      <c r="J4" s="269"/>
      <c r="K4" s="269"/>
      <c r="L4" s="269"/>
      <c r="M4" s="269"/>
      <c r="N4" s="269"/>
      <c r="O4" s="269"/>
      <c r="P4" s="270"/>
    </row>
    <row r="5" spans="2:16">
      <c r="B5" s="146"/>
      <c r="C5" s="22"/>
      <c r="D5" s="22"/>
      <c r="E5" s="22"/>
      <c r="F5" s="22"/>
      <c r="G5" s="22"/>
      <c r="H5" s="22"/>
      <c r="I5" s="1"/>
      <c r="J5" s="22"/>
      <c r="K5" s="22"/>
      <c r="L5" s="22"/>
      <c r="M5" s="22"/>
      <c r="N5" s="22"/>
      <c r="O5" s="22"/>
      <c r="P5" s="148"/>
    </row>
    <row r="6" spans="2:16">
      <c r="B6" s="146"/>
      <c r="C6" s="22" t="s">
        <v>146</v>
      </c>
      <c r="D6" s="1"/>
      <c r="E6" s="22"/>
      <c r="F6" s="22"/>
      <c r="G6" s="22"/>
      <c r="H6" s="22"/>
      <c r="I6" s="1"/>
      <c r="J6" s="22"/>
      <c r="K6" s="22"/>
      <c r="L6" s="22"/>
      <c r="M6" s="22"/>
      <c r="N6" s="22"/>
      <c r="O6" s="22"/>
      <c r="P6" s="148"/>
    </row>
    <row r="7" spans="2:16" ht="30.75" thickBot="1">
      <c r="B7" s="146"/>
      <c r="C7" s="33" t="s">
        <v>147</v>
      </c>
      <c r="D7" s="46" t="s">
        <v>148</v>
      </c>
      <c r="E7" s="46" t="s">
        <v>149</v>
      </c>
      <c r="F7" s="46" t="s">
        <v>150</v>
      </c>
      <c r="G7" s="46" t="s">
        <v>151</v>
      </c>
      <c r="H7" s="228" t="s">
        <v>152</v>
      </c>
      <c r="I7" s="229" t="s">
        <v>153</v>
      </c>
      <c r="J7" s="27"/>
      <c r="K7" s="27"/>
      <c r="L7" s="27"/>
      <c r="M7" s="27"/>
      <c r="N7" s="27"/>
      <c r="O7" s="27"/>
      <c r="P7" s="148"/>
    </row>
    <row r="8" spans="2:16" ht="15.75" thickTop="1">
      <c r="B8" s="146"/>
      <c r="C8" s="207" t="s">
        <v>88</v>
      </c>
      <c r="D8" s="43">
        <v>1</v>
      </c>
      <c r="E8" s="43">
        <f>H8+2</f>
        <v>27</v>
      </c>
      <c r="F8" s="43">
        <v>0.6</v>
      </c>
      <c r="G8" s="225">
        <f>I8+2</f>
        <v>27</v>
      </c>
      <c r="H8" s="43">
        <v>25</v>
      </c>
      <c r="I8" s="222">
        <v>25</v>
      </c>
      <c r="J8" s="27"/>
      <c r="K8" s="27"/>
      <c r="L8" s="27"/>
      <c r="M8" s="27"/>
      <c r="N8" s="27"/>
      <c r="O8" s="27"/>
      <c r="P8" s="148"/>
    </row>
    <row r="9" spans="2:16">
      <c r="B9" s="146"/>
      <c r="C9" s="207" t="s">
        <v>154</v>
      </c>
      <c r="D9" s="43">
        <v>1</v>
      </c>
      <c r="E9" s="43">
        <f t="shared" ref="E9:E13" si="0">H9+2</f>
        <v>27</v>
      </c>
      <c r="F9" s="43">
        <v>0.25</v>
      </c>
      <c r="G9" s="43">
        <f t="shared" ref="G9:G13" si="1">I9+2</f>
        <v>27</v>
      </c>
      <c r="H9" s="43">
        <v>25</v>
      </c>
      <c r="I9" s="40">
        <v>25</v>
      </c>
      <c r="J9" s="27"/>
      <c r="K9" s="27"/>
      <c r="L9" s="27"/>
      <c r="M9" s="27"/>
      <c r="N9" s="27"/>
      <c r="O9" s="27"/>
      <c r="P9" s="148"/>
    </row>
    <row r="10" spans="2:16">
      <c r="B10" s="146"/>
      <c r="C10" s="207" t="s">
        <v>155</v>
      </c>
      <c r="D10" s="43">
        <v>1</v>
      </c>
      <c r="E10" s="43">
        <f t="shared" si="0"/>
        <v>27</v>
      </c>
      <c r="F10" s="43">
        <v>1</v>
      </c>
      <c r="G10" s="43">
        <f t="shared" si="1"/>
        <v>27</v>
      </c>
      <c r="H10" s="43">
        <v>25</v>
      </c>
      <c r="I10" s="40">
        <v>25</v>
      </c>
      <c r="J10" s="27"/>
      <c r="K10" s="27"/>
      <c r="L10" s="27"/>
      <c r="M10" s="27"/>
      <c r="N10" s="27"/>
      <c r="O10" s="27"/>
      <c r="P10" s="148"/>
    </row>
    <row r="11" spans="2:16">
      <c r="B11" s="146"/>
      <c r="C11" s="207" t="s">
        <v>156</v>
      </c>
      <c r="D11" s="43">
        <v>8</v>
      </c>
      <c r="E11" s="43">
        <v>27</v>
      </c>
      <c r="F11" s="43">
        <v>8</v>
      </c>
      <c r="G11" s="226">
        <v>27</v>
      </c>
      <c r="H11" s="43">
        <v>25</v>
      </c>
      <c r="I11" s="223">
        <v>25</v>
      </c>
      <c r="J11" s="27"/>
      <c r="K11" s="27"/>
      <c r="L11" s="27"/>
      <c r="M11" s="27"/>
      <c r="N11" s="27"/>
      <c r="O11" s="27"/>
      <c r="P11" s="148"/>
    </row>
    <row r="12" spans="2:16">
      <c r="B12" s="146"/>
      <c r="C12" s="207" t="s">
        <v>157</v>
      </c>
      <c r="D12" s="43">
        <v>9.6999999999999993</v>
      </c>
      <c r="E12" s="43">
        <f t="shared" si="0"/>
        <v>72.900000000000006</v>
      </c>
      <c r="F12" s="43">
        <v>9.6999999999999993</v>
      </c>
      <c r="G12" s="43">
        <f t="shared" si="1"/>
        <v>72.900000000000006</v>
      </c>
      <c r="H12" s="43">
        <v>70.900000000000006</v>
      </c>
      <c r="I12" s="40">
        <v>70.900000000000006</v>
      </c>
      <c r="J12" s="27"/>
      <c r="K12" s="27"/>
      <c r="L12" s="27"/>
      <c r="M12" s="27"/>
      <c r="N12" s="27"/>
      <c r="O12" s="27"/>
      <c r="P12" s="148"/>
    </row>
    <row r="13" spans="2:16">
      <c r="B13" s="146"/>
      <c r="C13" s="207" t="s">
        <v>158</v>
      </c>
      <c r="D13" s="43">
        <v>11.6</v>
      </c>
      <c r="E13" s="43">
        <f t="shared" si="0"/>
        <v>96.3</v>
      </c>
      <c r="F13" s="43">
        <v>11.6</v>
      </c>
      <c r="G13" s="43">
        <f t="shared" si="1"/>
        <v>96.3</v>
      </c>
      <c r="H13" s="43">
        <v>94.3</v>
      </c>
      <c r="I13" s="40">
        <v>94.3</v>
      </c>
      <c r="J13" s="27"/>
      <c r="K13" s="27"/>
      <c r="L13" s="27"/>
      <c r="M13" s="27"/>
      <c r="N13" s="27"/>
      <c r="O13" s="27"/>
      <c r="P13" s="148"/>
    </row>
    <row r="14" spans="2:16">
      <c r="B14" s="146"/>
      <c r="C14" s="207" t="s">
        <v>159</v>
      </c>
      <c r="D14" s="43"/>
      <c r="E14" s="43"/>
      <c r="F14" s="43"/>
      <c r="G14" s="43"/>
      <c r="H14" s="227"/>
      <c r="I14" s="230"/>
      <c r="J14" s="27"/>
      <c r="K14" s="27"/>
      <c r="L14" s="27"/>
      <c r="M14" s="27"/>
      <c r="N14" s="27"/>
      <c r="O14" s="27"/>
      <c r="P14" s="148"/>
    </row>
    <row r="15" spans="2:16">
      <c r="B15" s="146"/>
      <c r="C15" s="207" t="s">
        <v>160</v>
      </c>
      <c r="D15" s="43"/>
      <c r="E15" s="43"/>
      <c r="F15" s="43"/>
      <c r="G15" s="43"/>
      <c r="H15" s="226"/>
      <c r="I15" s="224"/>
      <c r="J15" s="27"/>
      <c r="K15" s="27"/>
      <c r="L15" s="27"/>
      <c r="M15" s="27"/>
      <c r="N15" s="27"/>
      <c r="O15" s="27"/>
      <c r="P15" s="148"/>
    </row>
    <row r="16" spans="2:16">
      <c r="B16" s="146"/>
      <c r="C16" s="27"/>
      <c r="D16" s="206"/>
      <c r="E16" s="27"/>
      <c r="F16" s="27"/>
      <c r="G16" s="27"/>
      <c r="H16" s="27"/>
      <c r="I16" s="206"/>
      <c r="J16" s="27"/>
      <c r="K16" s="27"/>
      <c r="L16" s="27"/>
      <c r="M16" s="27"/>
      <c r="N16" s="27"/>
      <c r="O16" s="27"/>
      <c r="P16" s="148"/>
    </row>
    <row r="17" spans="2:16">
      <c r="B17" s="146"/>
      <c r="C17" s="27" t="s">
        <v>161</v>
      </c>
      <c r="D17" s="27"/>
      <c r="E17" s="27"/>
      <c r="F17" s="27"/>
      <c r="G17" s="27"/>
      <c r="H17" s="27"/>
      <c r="I17" s="27"/>
      <c r="J17" s="27"/>
      <c r="K17" s="27"/>
      <c r="L17" s="27"/>
      <c r="M17" s="27"/>
      <c r="N17" s="27"/>
      <c r="O17" s="27"/>
      <c r="P17" s="148"/>
    </row>
    <row r="18" spans="2:16" ht="45.75" thickBot="1">
      <c r="B18" s="146"/>
      <c r="C18" s="33" t="s">
        <v>162</v>
      </c>
      <c r="D18" s="33" t="s">
        <v>163</v>
      </c>
      <c r="E18" s="33" t="s">
        <v>164</v>
      </c>
      <c r="F18" s="33" t="s">
        <v>165</v>
      </c>
      <c r="G18" s="33" t="s">
        <v>166</v>
      </c>
      <c r="H18" s="33" t="s">
        <v>167</v>
      </c>
      <c r="I18" s="33" t="s">
        <v>168</v>
      </c>
      <c r="J18" s="46" t="s">
        <v>169</v>
      </c>
      <c r="K18" s="33" t="s">
        <v>170</v>
      </c>
      <c r="L18" s="39" t="s">
        <v>171</v>
      </c>
      <c r="M18" s="46" t="s">
        <v>172</v>
      </c>
      <c r="N18" s="33" t="s">
        <v>173</v>
      </c>
      <c r="O18" s="145" t="s">
        <v>174</v>
      </c>
      <c r="P18" s="124"/>
    </row>
    <row r="19" spans="2:16" ht="17.25" customHeight="1" thickTop="1">
      <c r="B19" s="146"/>
      <c r="C19" s="208" t="s">
        <v>113</v>
      </c>
      <c r="D19" s="208" t="s">
        <v>175</v>
      </c>
      <c r="E19" s="208" t="b">
        <v>1</v>
      </c>
      <c r="F19" s="208" t="s">
        <v>176</v>
      </c>
      <c r="G19" s="208" t="s">
        <v>177</v>
      </c>
      <c r="H19" s="34" t="str">
        <f>C19&amp;"|"&amp;D19&amp;"|"&amp;E19&amp;"|"&amp;F19&amp;"|"&amp;G19</f>
        <v>Itchen|Cereals|TRUE|700to900|FreeDrain</v>
      </c>
      <c r="I19" s="199">
        <v>0.1</v>
      </c>
      <c r="J19" s="48">
        <v>28.76</v>
      </c>
      <c r="K19" s="34" t="str">
        <f t="shared" ref="K19:K42" si="2">D19&amp;"|"&amp;F19</f>
        <v>Cereals|700to900</v>
      </c>
      <c r="L19" s="44">
        <f>AVERAGE(I19:I21)</f>
        <v>0.58333333333333337</v>
      </c>
      <c r="M19" s="199">
        <f>AVERAGE(J19:J21)</f>
        <v>23.810000000000002</v>
      </c>
      <c r="N19" s="49">
        <f>AVERAGE(I19:I22)</f>
        <v>0.48249999999999998</v>
      </c>
      <c r="O19" s="35">
        <f>AVERAGE(J19:J22)</f>
        <v>25.5</v>
      </c>
      <c r="P19" s="124"/>
    </row>
    <row r="20" spans="2:16">
      <c r="B20" s="146"/>
      <c r="C20" s="208" t="s">
        <v>113</v>
      </c>
      <c r="D20" s="208" t="s">
        <v>175</v>
      </c>
      <c r="E20" s="208" t="b">
        <v>1</v>
      </c>
      <c r="F20" s="208" t="s">
        <v>176</v>
      </c>
      <c r="G20" s="208" t="s">
        <v>178</v>
      </c>
      <c r="H20" s="34" t="str">
        <f t="shared" ref="H20:H42" si="3">C20&amp;"|"&amp;D20&amp;"|"&amp;E20&amp;"|"&amp;F20&amp;"|"&amp;G20</f>
        <v>Itchen|Cereals|TRUE|700to900|DrainedAr</v>
      </c>
      <c r="I20" s="143">
        <v>0.7</v>
      </c>
      <c r="J20" s="49">
        <v>22.06</v>
      </c>
      <c r="K20" s="34" t="str">
        <f t="shared" si="2"/>
        <v>Cereals|700to900</v>
      </c>
      <c r="L20" s="143">
        <f>AVERAGE(I19:I21)</f>
        <v>0.58333333333333337</v>
      </c>
      <c r="M20" s="143">
        <f>AVERAGE(J19:J21)</f>
        <v>23.810000000000002</v>
      </c>
      <c r="N20" s="49"/>
      <c r="O20" s="35"/>
      <c r="P20" s="124"/>
    </row>
    <row r="21" spans="2:16">
      <c r="B21" s="146"/>
      <c r="C21" s="208" t="s">
        <v>113</v>
      </c>
      <c r="D21" s="208" t="s">
        <v>175</v>
      </c>
      <c r="E21" s="208" t="b">
        <v>1</v>
      </c>
      <c r="F21" s="208" t="s">
        <v>176</v>
      </c>
      <c r="G21" s="208" t="s">
        <v>179</v>
      </c>
      <c r="H21" s="34" t="str">
        <f t="shared" si="3"/>
        <v>Itchen|Cereals|TRUE|700to900|DrainedArGr</v>
      </c>
      <c r="I21" s="143">
        <v>0.95</v>
      </c>
      <c r="J21" s="49">
        <v>20.61</v>
      </c>
      <c r="K21" s="34" t="str">
        <f t="shared" si="2"/>
        <v>Cereals|700to900</v>
      </c>
      <c r="L21" s="197">
        <f>AVERAGE(I19:I21)</f>
        <v>0.58333333333333337</v>
      </c>
      <c r="M21" s="197">
        <f>AVERAGE(J19:J21)</f>
        <v>23.810000000000002</v>
      </c>
      <c r="N21" s="200"/>
      <c r="O21" s="198"/>
      <c r="P21" s="124"/>
    </row>
    <row r="22" spans="2:16">
      <c r="B22" s="146"/>
      <c r="C22" s="208" t="s">
        <v>113</v>
      </c>
      <c r="D22" s="208" t="s">
        <v>175</v>
      </c>
      <c r="E22" s="208" t="b">
        <v>1</v>
      </c>
      <c r="F22" s="208" t="s">
        <v>180</v>
      </c>
      <c r="G22" s="208" t="s">
        <v>177</v>
      </c>
      <c r="H22" s="34" t="str">
        <f t="shared" si="3"/>
        <v>Itchen|Cereals|TRUE|900to1200|FreeDrain</v>
      </c>
      <c r="I22" s="143">
        <v>0.18</v>
      </c>
      <c r="J22" s="49">
        <v>30.57</v>
      </c>
      <c r="K22" s="34" t="str">
        <f t="shared" si="2"/>
        <v>Cereals|900to1200</v>
      </c>
      <c r="L22" s="143">
        <f>AVERAGE(I46)</f>
        <v>1.18</v>
      </c>
      <c r="M22" s="143">
        <f>AVERAGE(J46)</f>
        <v>26.81</v>
      </c>
      <c r="N22" s="49"/>
      <c r="O22" s="35"/>
      <c r="P22" s="124"/>
    </row>
    <row r="23" spans="2:16">
      <c r="B23" s="146"/>
      <c r="C23" s="208" t="s">
        <v>113</v>
      </c>
      <c r="D23" s="208" t="s">
        <v>181</v>
      </c>
      <c r="E23" s="208" t="b">
        <v>1</v>
      </c>
      <c r="F23" s="208" t="s">
        <v>176</v>
      </c>
      <c r="G23" s="208" t="s">
        <v>177</v>
      </c>
      <c r="H23" s="34" t="str">
        <f t="shared" si="3"/>
        <v>Itchen|General|TRUE|700to900|FreeDrain</v>
      </c>
      <c r="I23" s="143">
        <v>0.08</v>
      </c>
      <c r="J23" s="49">
        <v>21.65</v>
      </c>
      <c r="K23" s="34" t="str">
        <f t="shared" si="2"/>
        <v>General|700to900</v>
      </c>
      <c r="L23" s="143">
        <f>AVERAGE(I23:I25)</f>
        <v>0.43333333333333329</v>
      </c>
      <c r="M23" s="143">
        <f>AVERAGE(J23:J25)</f>
        <v>17.546666666666663</v>
      </c>
      <c r="N23" s="49">
        <f>AVERAGE(I23:I26)</f>
        <v>0.36</v>
      </c>
      <c r="O23" s="35">
        <f>AVERAGE(J23:J26)</f>
        <v>18.954999999999998</v>
      </c>
      <c r="P23" s="124"/>
    </row>
    <row r="24" spans="2:16">
      <c r="B24" s="146"/>
      <c r="C24" s="208" t="s">
        <v>113</v>
      </c>
      <c r="D24" s="208" t="s">
        <v>181</v>
      </c>
      <c r="E24" s="208" t="b">
        <v>1</v>
      </c>
      <c r="F24" s="208" t="s">
        <v>176</v>
      </c>
      <c r="G24" s="208" t="s">
        <v>178</v>
      </c>
      <c r="H24" s="34" t="str">
        <f t="shared" si="3"/>
        <v>Itchen|General|TRUE|700to900|DrainedAr</v>
      </c>
      <c r="I24" s="143">
        <v>0.49</v>
      </c>
      <c r="J24" s="49">
        <v>16.23</v>
      </c>
      <c r="K24" s="34" t="str">
        <f t="shared" si="2"/>
        <v>General|700to900</v>
      </c>
      <c r="L24" s="143">
        <f>AVERAGE(I23:I25)</f>
        <v>0.43333333333333329</v>
      </c>
      <c r="M24" s="143">
        <f>AVERAGE(J23:J25)</f>
        <v>17.546666666666663</v>
      </c>
      <c r="N24" s="49"/>
      <c r="O24" s="35"/>
      <c r="P24" s="124"/>
    </row>
    <row r="25" spans="2:16">
      <c r="B25" s="146"/>
      <c r="C25" s="208" t="s">
        <v>113</v>
      </c>
      <c r="D25" s="208" t="s">
        <v>181</v>
      </c>
      <c r="E25" s="208" t="b">
        <v>1</v>
      </c>
      <c r="F25" s="208" t="s">
        <v>176</v>
      </c>
      <c r="G25" s="208" t="s">
        <v>179</v>
      </c>
      <c r="H25" s="34" t="str">
        <f t="shared" si="3"/>
        <v>Itchen|General|TRUE|700to900|DrainedArGr</v>
      </c>
      <c r="I25" s="143">
        <v>0.73</v>
      </c>
      <c r="J25" s="49">
        <v>14.76</v>
      </c>
      <c r="K25" s="34" t="str">
        <f t="shared" si="2"/>
        <v>General|700to900</v>
      </c>
      <c r="L25" s="197">
        <f>AVERAGE(I23:I25)</f>
        <v>0.43333333333333329</v>
      </c>
      <c r="M25" s="197">
        <f>AVERAGE(J23:J25)</f>
        <v>17.546666666666663</v>
      </c>
      <c r="N25" s="200"/>
      <c r="O25" s="198"/>
      <c r="P25" s="124"/>
    </row>
    <row r="26" spans="2:16">
      <c r="B26" s="146"/>
      <c r="C26" s="208" t="s">
        <v>113</v>
      </c>
      <c r="D26" s="208" t="s">
        <v>181</v>
      </c>
      <c r="E26" s="208" t="b">
        <v>1</v>
      </c>
      <c r="F26" s="208" t="s">
        <v>180</v>
      </c>
      <c r="G26" s="208" t="s">
        <v>177</v>
      </c>
      <c r="H26" s="34" t="str">
        <f t="shared" si="3"/>
        <v>Itchen|General|TRUE|900to1200|FreeDrain</v>
      </c>
      <c r="I26" s="143">
        <v>0.14000000000000001</v>
      </c>
      <c r="J26" s="49">
        <v>23.18</v>
      </c>
      <c r="K26" s="34" t="str">
        <f t="shared" si="2"/>
        <v>General|900to1200</v>
      </c>
      <c r="L26" s="143">
        <f>AVERAGE(I26,I50:I51)</f>
        <v>0.66</v>
      </c>
      <c r="M26" s="143">
        <f>AVERAGE(J26,J50:J51)</f>
        <v>18.14</v>
      </c>
      <c r="N26" s="49"/>
      <c r="O26" s="35"/>
      <c r="P26" s="124"/>
    </row>
    <row r="27" spans="2:16">
      <c r="B27" s="146"/>
      <c r="C27" s="208" t="s">
        <v>113</v>
      </c>
      <c r="D27" s="208" t="s">
        <v>182</v>
      </c>
      <c r="E27" s="208" t="b">
        <v>1</v>
      </c>
      <c r="F27" s="208" t="s">
        <v>176</v>
      </c>
      <c r="G27" s="208" t="s">
        <v>177</v>
      </c>
      <c r="H27" s="34" t="str">
        <f t="shared" si="3"/>
        <v>Itchen|Horticulture|TRUE|700to900|FreeDrain</v>
      </c>
      <c r="I27" s="143">
        <v>0.09</v>
      </c>
      <c r="J27" s="49">
        <v>21.82</v>
      </c>
      <c r="K27" s="34" t="str">
        <f t="shared" si="2"/>
        <v>Horticulture|700to900</v>
      </c>
      <c r="L27" s="143">
        <f>AVERAGE(I27,I28)</f>
        <v>0.47</v>
      </c>
      <c r="M27" s="143">
        <f>AVERAGE(J27,J28)</f>
        <v>18.11</v>
      </c>
      <c r="N27" s="49">
        <f>AVERAGE(I27:I29)</f>
        <v>0.36666666666666664</v>
      </c>
      <c r="O27" s="35">
        <f>AVERAGE(J27:J29)</f>
        <v>19.88</v>
      </c>
      <c r="P27" s="124"/>
    </row>
    <row r="28" spans="2:16">
      <c r="B28" s="146"/>
      <c r="C28" s="208" t="s">
        <v>113</v>
      </c>
      <c r="D28" s="208" t="s">
        <v>182</v>
      </c>
      <c r="E28" s="208" t="b">
        <v>1</v>
      </c>
      <c r="F28" s="208" t="s">
        <v>176</v>
      </c>
      <c r="G28" s="208" t="s">
        <v>179</v>
      </c>
      <c r="H28" s="34" t="str">
        <f t="shared" si="3"/>
        <v>Itchen|Horticulture|TRUE|700to900|DrainedArGr</v>
      </c>
      <c r="I28" s="143">
        <v>0.85</v>
      </c>
      <c r="J28" s="49">
        <v>14.4</v>
      </c>
      <c r="K28" s="34" t="str">
        <f t="shared" si="2"/>
        <v>Horticulture|700to900</v>
      </c>
      <c r="L28" s="45">
        <f>AVERAGE(I27,I28)</f>
        <v>0.47</v>
      </c>
      <c r="M28" s="143">
        <f>AVERAGE(J27,J28)</f>
        <v>18.11</v>
      </c>
      <c r="N28" s="49"/>
      <c r="O28" s="35"/>
      <c r="P28" s="124"/>
    </row>
    <row r="29" spans="2:16">
      <c r="B29" s="146"/>
      <c r="C29" s="208" t="s">
        <v>113</v>
      </c>
      <c r="D29" s="208" t="s">
        <v>182</v>
      </c>
      <c r="E29" s="208" t="b">
        <v>1</v>
      </c>
      <c r="F29" s="208" t="s">
        <v>180</v>
      </c>
      <c r="G29" s="208" t="s">
        <v>177</v>
      </c>
      <c r="H29" s="34" t="str">
        <f t="shared" si="3"/>
        <v>Itchen|Horticulture|TRUE|900to1200|FreeDrain</v>
      </c>
      <c r="I29" s="143">
        <v>0.16</v>
      </c>
      <c r="J29" s="49">
        <v>23.42</v>
      </c>
      <c r="K29" s="34" t="str">
        <f t="shared" si="2"/>
        <v>Horticulture|900to1200</v>
      </c>
      <c r="L29" s="45">
        <f>AVERAGE(I29,I55:I56)</f>
        <v>0.79999999999999993</v>
      </c>
      <c r="M29" s="143">
        <f>AVERAGE(J29,J55:J56)</f>
        <v>19.103333333333335</v>
      </c>
      <c r="N29" s="49"/>
      <c r="O29" s="35"/>
      <c r="P29" s="124"/>
    </row>
    <row r="30" spans="2:16">
      <c r="B30" s="146"/>
      <c r="C30" s="208" t="s">
        <v>113</v>
      </c>
      <c r="D30" s="208" t="s">
        <v>183</v>
      </c>
      <c r="E30" s="208" t="b">
        <v>1</v>
      </c>
      <c r="F30" s="208" t="s">
        <v>176</v>
      </c>
      <c r="G30" s="208" t="s">
        <v>177</v>
      </c>
      <c r="H30" s="34" t="str">
        <f t="shared" si="3"/>
        <v>Itchen|Poultry|TRUE|700to900|FreeDrain</v>
      </c>
      <c r="I30" s="143">
        <v>0.09</v>
      </c>
      <c r="J30" s="49">
        <v>78.56</v>
      </c>
      <c r="K30" s="34" t="str">
        <f t="shared" si="2"/>
        <v>Poultry|700to900</v>
      </c>
      <c r="L30" s="45">
        <f>AVERAGE(I30,I61)</f>
        <v>0.51500000000000001</v>
      </c>
      <c r="M30" s="143">
        <f>AVERAGE(J30,J61)</f>
        <v>85.43</v>
      </c>
      <c r="N30" s="49">
        <f>AVERAGE(I30:I32)</f>
        <v>0.13</v>
      </c>
      <c r="O30" s="35">
        <f>AVERAGE(J30:J32)</f>
        <v>81.13666666666667</v>
      </c>
      <c r="P30" s="148"/>
    </row>
    <row r="31" spans="2:16">
      <c r="B31" s="146"/>
      <c r="C31" s="208" t="s">
        <v>113</v>
      </c>
      <c r="D31" s="208" t="s">
        <v>183</v>
      </c>
      <c r="E31" s="208" t="b">
        <v>0</v>
      </c>
      <c r="F31" s="208" t="s">
        <v>180</v>
      </c>
      <c r="G31" s="208" t="s">
        <v>177</v>
      </c>
      <c r="H31" s="34" t="str">
        <f t="shared" si="3"/>
        <v>Itchen|Poultry|FALSE|900to1200|FreeDrain</v>
      </c>
      <c r="I31" s="143">
        <v>0.15</v>
      </c>
      <c r="J31" s="49">
        <v>82.28</v>
      </c>
      <c r="K31" s="34" t="str">
        <f t="shared" si="2"/>
        <v>Poultry|900to1200</v>
      </c>
      <c r="L31" s="45">
        <f>AVERAGE(I31,I62:I63)</f>
        <v>0.82666666666666666</v>
      </c>
      <c r="M31" s="143">
        <f>AVERAGE(J31,J62:J63)</f>
        <v>107.81</v>
      </c>
      <c r="N31" s="49"/>
      <c r="O31" s="35"/>
      <c r="P31" s="124"/>
    </row>
    <row r="32" spans="2:16">
      <c r="B32" s="146"/>
      <c r="C32" s="208" t="s">
        <v>113</v>
      </c>
      <c r="D32" s="208" t="s">
        <v>183</v>
      </c>
      <c r="E32" s="208" t="b">
        <v>1</v>
      </c>
      <c r="F32" s="208" t="s">
        <v>180</v>
      </c>
      <c r="G32" s="208" t="s">
        <v>177</v>
      </c>
      <c r="H32" s="34" t="str">
        <f t="shared" si="3"/>
        <v>Itchen|Poultry|TRUE|900to1200|FreeDrain</v>
      </c>
      <c r="I32" s="143">
        <v>0.15</v>
      </c>
      <c r="J32" s="49">
        <v>82.57</v>
      </c>
      <c r="K32" s="34" t="str">
        <f t="shared" si="2"/>
        <v>Poultry|900to1200</v>
      </c>
      <c r="L32" s="45">
        <f>AVERAGE(I32,I62:I63)</f>
        <v>0.82666666666666666</v>
      </c>
      <c r="M32" s="143">
        <f>AVERAGE(J32,J62:J63)</f>
        <v>107.90666666666665</v>
      </c>
      <c r="N32" s="49"/>
      <c r="O32" s="35"/>
      <c r="P32" s="124"/>
    </row>
    <row r="33" spans="2:16">
      <c r="B33" s="146"/>
      <c r="C33" s="208" t="s">
        <v>113</v>
      </c>
      <c r="D33" s="208" t="s">
        <v>184</v>
      </c>
      <c r="E33" s="208" t="b">
        <v>1</v>
      </c>
      <c r="F33" s="208" t="s">
        <v>176</v>
      </c>
      <c r="G33" s="208" t="s">
        <v>177</v>
      </c>
      <c r="H33" s="34" t="str">
        <f t="shared" si="3"/>
        <v>Itchen|Dairy|TRUE|700to900|FreeDrain</v>
      </c>
      <c r="I33" s="143">
        <v>0.12</v>
      </c>
      <c r="J33" s="49">
        <v>47.12</v>
      </c>
      <c r="K33" s="34" t="str">
        <f t="shared" si="2"/>
        <v>Dairy|700to900</v>
      </c>
      <c r="L33" s="45">
        <f>AVERAGE(I33:I34)</f>
        <v>0.67999999999999994</v>
      </c>
      <c r="M33" s="143">
        <f>AVERAGE(J33:J34)</f>
        <v>34.14</v>
      </c>
      <c r="N33" s="49">
        <f>AVERAGE(I33:I34)</f>
        <v>0.67999999999999994</v>
      </c>
      <c r="O33" s="35">
        <f>AVERAGE(J33:J34)</f>
        <v>34.14</v>
      </c>
      <c r="P33" s="124"/>
    </row>
    <row r="34" spans="2:16">
      <c r="B34" s="146"/>
      <c r="C34" s="208" t="s">
        <v>113</v>
      </c>
      <c r="D34" s="208" t="s">
        <v>184</v>
      </c>
      <c r="E34" s="208" t="b">
        <v>1</v>
      </c>
      <c r="F34" s="208" t="s">
        <v>176</v>
      </c>
      <c r="G34" s="208" t="s">
        <v>179</v>
      </c>
      <c r="H34" s="34" t="str">
        <f t="shared" si="3"/>
        <v>Itchen|Dairy|TRUE|700to900|DrainedArGr</v>
      </c>
      <c r="I34" s="143">
        <v>1.24</v>
      </c>
      <c r="J34" s="49">
        <v>21.16</v>
      </c>
      <c r="K34" s="34" t="str">
        <f t="shared" si="2"/>
        <v>Dairy|700to900</v>
      </c>
      <c r="L34" s="45">
        <f>AVERAGE(I33:I34)</f>
        <v>0.67999999999999994</v>
      </c>
      <c r="M34" s="143">
        <f>AVERAGE(J33:J34)</f>
        <v>34.14</v>
      </c>
      <c r="N34" s="49"/>
      <c r="O34" s="35"/>
      <c r="P34" s="124"/>
    </row>
    <row r="35" spans="2:16">
      <c r="B35" s="146"/>
      <c r="C35" s="208" t="s">
        <v>113</v>
      </c>
      <c r="D35" s="208" t="s">
        <v>185</v>
      </c>
      <c r="E35" s="208" t="b">
        <v>1</v>
      </c>
      <c r="F35" s="208" t="s">
        <v>176</v>
      </c>
      <c r="G35" s="208" t="s">
        <v>177</v>
      </c>
      <c r="H35" s="34" t="str">
        <f t="shared" si="3"/>
        <v>Itchen|Lowland|TRUE|700to900|FreeDrain</v>
      </c>
      <c r="I35" s="143">
        <v>0.06</v>
      </c>
      <c r="J35" s="49">
        <v>13.13</v>
      </c>
      <c r="K35" s="34" t="str">
        <f t="shared" si="2"/>
        <v>Lowland|700to900</v>
      </c>
      <c r="L35" s="45">
        <f>AVERAGE(I35:I37)</f>
        <v>0.27999999999999997</v>
      </c>
      <c r="M35" s="143">
        <f>AVERAGE(J35:J37)</f>
        <v>10.209999999999999</v>
      </c>
      <c r="N35" s="49">
        <f>AVERAGE(I35:I39)</f>
        <v>0.21200000000000002</v>
      </c>
      <c r="O35" s="35">
        <f>AVERAGE(J35:J39)</f>
        <v>11.756</v>
      </c>
      <c r="P35" s="124"/>
    </row>
    <row r="36" spans="2:16">
      <c r="B36" s="146"/>
      <c r="C36" s="208" t="s">
        <v>113</v>
      </c>
      <c r="D36" s="208" t="s">
        <v>185</v>
      </c>
      <c r="E36" s="208" t="b">
        <v>1</v>
      </c>
      <c r="F36" s="208" t="s">
        <v>176</v>
      </c>
      <c r="G36" s="208" t="s">
        <v>178</v>
      </c>
      <c r="H36" s="34" t="str">
        <f t="shared" si="3"/>
        <v>Itchen|Lowland|TRUE|700to900|DrainedAr</v>
      </c>
      <c r="I36" s="143">
        <v>0.18</v>
      </c>
      <c r="J36" s="49">
        <v>10.16</v>
      </c>
      <c r="K36" s="34" t="str">
        <f t="shared" si="2"/>
        <v>Lowland|700to900</v>
      </c>
      <c r="L36" s="45">
        <f>AVERAGE(I35:I37)</f>
        <v>0.27999999999999997</v>
      </c>
      <c r="M36" s="143">
        <f>AVERAGE(J35:J37)</f>
        <v>10.209999999999999</v>
      </c>
      <c r="N36" s="49"/>
      <c r="O36" s="35"/>
      <c r="P36" s="124"/>
    </row>
    <row r="37" spans="2:16">
      <c r="B37" s="146"/>
      <c r="C37" s="208" t="s">
        <v>113</v>
      </c>
      <c r="D37" s="208" t="s">
        <v>185</v>
      </c>
      <c r="E37" s="208" t="b">
        <v>1</v>
      </c>
      <c r="F37" s="208" t="s">
        <v>176</v>
      </c>
      <c r="G37" s="208" t="s">
        <v>179</v>
      </c>
      <c r="H37" s="34" t="str">
        <f t="shared" si="3"/>
        <v>Itchen|Lowland|TRUE|700to900|DrainedArGr</v>
      </c>
      <c r="I37" s="143">
        <v>0.6</v>
      </c>
      <c r="J37" s="49">
        <v>7.34</v>
      </c>
      <c r="K37" s="34" t="str">
        <f t="shared" si="2"/>
        <v>Lowland|700to900</v>
      </c>
      <c r="L37" s="45">
        <f>AVERAGE(I35:I37)</f>
        <v>0.27999999999999997</v>
      </c>
      <c r="M37" s="143">
        <f>AVERAGE(J35:J37)</f>
        <v>10.209999999999999</v>
      </c>
      <c r="N37" s="49"/>
      <c r="O37" s="35"/>
      <c r="P37" s="193"/>
    </row>
    <row r="38" spans="2:16">
      <c r="B38" s="146"/>
      <c r="C38" s="208" t="s">
        <v>113</v>
      </c>
      <c r="D38" s="208" t="s">
        <v>185</v>
      </c>
      <c r="E38" s="208" t="b">
        <v>0</v>
      </c>
      <c r="F38" s="208" t="s">
        <v>180</v>
      </c>
      <c r="G38" s="208" t="s">
        <v>177</v>
      </c>
      <c r="H38" s="43" t="str">
        <f t="shared" si="3"/>
        <v>Itchen|Lowland|FALSE|900to1200|FreeDrain</v>
      </c>
      <c r="I38" s="143">
        <v>0.11</v>
      </c>
      <c r="J38" s="49">
        <v>14.12</v>
      </c>
      <c r="K38" s="34" t="str">
        <f t="shared" si="2"/>
        <v>Lowland|900to1200</v>
      </c>
      <c r="L38" s="45">
        <f>AVERAGE(I38,I71:I72)</f>
        <v>0.49666666666666665</v>
      </c>
      <c r="M38" s="143">
        <f>AVERAGE(J38,J71:J72)</f>
        <v>12.299999999999999</v>
      </c>
      <c r="N38" s="49"/>
      <c r="O38" s="35"/>
      <c r="P38" s="124"/>
    </row>
    <row r="39" spans="2:16">
      <c r="B39" s="146"/>
      <c r="C39" s="208" t="s">
        <v>113</v>
      </c>
      <c r="D39" s="208" t="s">
        <v>185</v>
      </c>
      <c r="E39" s="208" t="b">
        <v>1</v>
      </c>
      <c r="F39" s="208" t="s">
        <v>180</v>
      </c>
      <c r="G39" s="208" t="s">
        <v>177</v>
      </c>
      <c r="H39" s="43" t="str">
        <f t="shared" si="3"/>
        <v>Itchen|Lowland|TRUE|900to1200|FreeDrain</v>
      </c>
      <c r="I39" s="143">
        <v>0.11</v>
      </c>
      <c r="J39" s="49">
        <v>14.03</v>
      </c>
      <c r="K39" s="34" t="str">
        <f t="shared" si="2"/>
        <v>Lowland|900to1200</v>
      </c>
      <c r="L39" s="45">
        <f>AVERAGE(I39,I71:I72)</f>
        <v>0.49666666666666665</v>
      </c>
      <c r="M39" s="143">
        <f>AVERAGE(J39,J71:J72)</f>
        <v>12.270000000000001</v>
      </c>
      <c r="N39" s="49"/>
      <c r="O39" s="35"/>
      <c r="P39" s="124"/>
    </row>
    <row r="40" spans="2:16">
      <c r="B40" s="146"/>
      <c r="C40" s="208" t="s">
        <v>113</v>
      </c>
      <c r="D40" s="208" t="s">
        <v>186</v>
      </c>
      <c r="E40" s="208" t="b">
        <v>1</v>
      </c>
      <c r="F40" s="208" t="s">
        <v>176</v>
      </c>
      <c r="G40" s="208" t="s">
        <v>177</v>
      </c>
      <c r="H40" s="43" t="str">
        <f t="shared" si="3"/>
        <v>Itchen|Mixed|TRUE|700to900|FreeDrain</v>
      </c>
      <c r="I40" s="143">
        <v>0.1</v>
      </c>
      <c r="J40" s="49">
        <v>26.32</v>
      </c>
      <c r="K40" s="34" t="str">
        <f t="shared" si="2"/>
        <v>Mixed|700to900</v>
      </c>
      <c r="L40" s="45">
        <f>AVERAGE(I40:I41)</f>
        <v>0.33499999999999996</v>
      </c>
      <c r="M40" s="143">
        <f>AVERAGE(J40:J41)</f>
        <v>23.259999999999998</v>
      </c>
      <c r="N40" s="49">
        <f>AVERAGE(I40:I42)</f>
        <v>0.27999999999999997</v>
      </c>
      <c r="O40" s="35">
        <f>AVERAGE(J40:J42)</f>
        <v>24.823333333333334</v>
      </c>
      <c r="P40" s="124"/>
    </row>
    <row r="41" spans="2:16">
      <c r="B41" s="146"/>
      <c r="C41" s="208" t="s">
        <v>113</v>
      </c>
      <c r="D41" s="208" t="s">
        <v>186</v>
      </c>
      <c r="E41" s="208" t="b">
        <v>1</v>
      </c>
      <c r="F41" s="208" t="s">
        <v>176</v>
      </c>
      <c r="G41" s="208" t="s">
        <v>178</v>
      </c>
      <c r="H41" s="43" t="str">
        <f t="shared" si="3"/>
        <v>Itchen|Mixed|TRUE|700to900|DrainedAr</v>
      </c>
      <c r="I41" s="143">
        <v>0.56999999999999995</v>
      </c>
      <c r="J41" s="49">
        <v>20.2</v>
      </c>
      <c r="K41" s="34" t="str">
        <f t="shared" si="2"/>
        <v>Mixed|700to900</v>
      </c>
      <c r="L41" s="45">
        <f>AVERAGE(I40:I41)</f>
        <v>0.33499999999999996</v>
      </c>
      <c r="M41" s="143">
        <f>AVERAGE(J40:J41)</f>
        <v>23.259999999999998</v>
      </c>
      <c r="N41" s="49"/>
      <c r="O41" s="35"/>
      <c r="P41" s="124"/>
    </row>
    <row r="42" spans="2:16">
      <c r="B42" s="146"/>
      <c r="C42" s="208" t="s">
        <v>113</v>
      </c>
      <c r="D42" s="208" t="s">
        <v>186</v>
      </c>
      <c r="E42" s="208" t="b">
        <v>1</v>
      </c>
      <c r="F42" s="208" t="s">
        <v>180</v>
      </c>
      <c r="G42" s="208" t="s">
        <v>177</v>
      </c>
      <c r="H42" s="43" t="str">
        <f t="shared" si="3"/>
        <v>Itchen|Mixed|TRUE|900to1200|FreeDrain</v>
      </c>
      <c r="I42" s="143">
        <v>0.17</v>
      </c>
      <c r="J42" s="143">
        <v>27.95</v>
      </c>
      <c r="K42" s="34" t="str">
        <f t="shared" si="2"/>
        <v>Mixed|900to1200</v>
      </c>
      <c r="L42" s="45">
        <f>AVERAGE(I42,I75:I76)</f>
        <v>0.79</v>
      </c>
      <c r="M42" s="143">
        <f>AVERAGE(J42,J75:J76)</f>
        <v>23.653333333333336</v>
      </c>
      <c r="N42" s="49"/>
      <c r="O42" s="35"/>
      <c r="P42" s="124"/>
    </row>
    <row r="43" spans="2:16">
      <c r="B43" s="146"/>
      <c r="C43" s="208" t="s">
        <v>187</v>
      </c>
      <c r="D43" s="208" t="s">
        <v>175</v>
      </c>
      <c r="E43" s="208" t="b">
        <v>1</v>
      </c>
      <c r="F43" s="208" t="s">
        <v>176</v>
      </c>
      <c r="G43" s="208" t="s">
        <v>177</v>
      </c>
      <c r="H43" s="43" t="str">
        <f t="shared" ref="H43:H92" si="4">D43&amp;"|"&amp;E43&amp;"|"&amp;F43&amp;"|"&amp;G43</f>
        <v>Cereals|TRUE|700to900|FreeDrain</v>
      </c>
      <c r="I43" s="143">
        <v>0.13</v>
      </c>
      <c r="J43" s="143">
        <v>27.04</v>
      </c>
      <c r="K43" s="34" t="str">
        <f t="shared" ref="K43:K92" si="5">D43&amp;"|"&amp;F43</f>
        <v>Cereals|700to900</v>
      </c>
      <c r="L43" s="143">
        <f>I43</f>
        <v>0.13</v>
      </c>
      <c r="M43" s="143">
        <f>J43</f>
        <v>27.04</v>
      </c>
      <c r="N43" s="49"/>
      <c r="O43" s="35"/>
      <c r="P43" s="124"/>
    </row>
    <row r="44" spans="2:16">
      <c r="B44" s="146"/>
      <c r="C44" s="208" t="s">
        <v>187</v>
      </c>
      <c r="D44" s="208" t="s">
        <v>175</v>
      </c>
      <c r="E44" s="208" t="b">
        <v>1</v>
      </c>
      <c r="F44" s="208" t="s">
        <v>176</v>
      </c>
      <c r="G44" s="208" t="s">
        <v>178</v>
      </c>
      <c r="H44" s="43" t="str">
        <f t="shared" si="4"/>
        <v>Cereals|TRUE|700to900|DrainedAr</v>
      </c>
      <c r="I44" s="143">
        <v>0.62</v>
      </c>
      <c r="J44" s="143">
        <v>20.93</v>
      </c>
      <c r="K44" s="34" t="str">
        <f t="shared" si="5"/>
        <v>Cereals|700to900</v>
      </c>
      <c r="L44" s="143">
        <f t="shared" ref="L44:L92" si="6">I44</f>
        <v>0.62</v>
      </c>
      <c r="M44" s="143">
        <f t="shared" ref="M44:M92" si="7">J44</f>
        <v>20.93</v>
      </c>
      <c r="N44" s="49"/>
      <c r="O44" s="35"/>
      <c r="P44" s="124"/>
    </row>
    <row r="45" spans="2:16">
      <c r="B45" s="146"/>
      <c r="C45" s="208" t="s">
        <v>187</v>
      </c>
      <c r="D45" s="208" t="s">
        <v>175</v>
      </c>
      <c r="E45" s="208" t="b">
        <v>1</v>
      </c>
      <c r="F45" s="208" t="s">
        <v>176</v>
      </c>
      <c r="G45" s="208" t="s">
        <v>179</v>
      </c>
      <c r="H45" s="43" t="str">
        <f t="shared" si="4"/>
        <v>Cereals|TRUE|700to900|DrainedArGr</v>
      </c>
      <c r="I45" s="143">
        <v>0.87</v>
      </c>
      <c r="J45" s="143">
        <v>19.59</v>
      </c>
      <c r="K45" s="34" t="str">
        <f t="shared" si="5"/>
        <v>Cereals|700to900</v>
      </c>
      <c r="L45" s="143">
        <f t="shared" si="6"/>
        <v>0.87</v>
      </c>
      <c r="M45" s="143">
        <f t="shared" si="7"/>
        <v>19.59</v>
      </c>
      <c r="N45" s="49"/>
      <c r="O45" s="35"/>
      <c r="P45" s="124"/>
    </row>
    <row r="46" spans="2:16">
      <c r="B46" s="146"/>
      <c r="C46" s="208" t="s">
        <v>187</v>
      </c>
      <c r="D46" s="208" t="s">
        <v>175</v>
      </c>
      <c r="E46" s="208" t="b">
        <v>1</v>
      </c>
      <c r="F46" s="208" t="s">
        <v>180</v>
      </c>
      <c r="G46" s="208" t="s">
        <v>178</v>
      </c>
      <c r="H46" s="43" t="str">
        <f t="shared" si="4"/>
        <v>Cereals|TRUE|900to1200|DrainedAr</v>
      </c>
      <c r="I46" s="143">
        <v>1.18</v>
      </c>
      <c r="J46" s="143">
        <v>26.81</v>
      </c>
      <c r="K46" s="34" t="str">
        <f t="shared" si="5"/>
        <v>Cereals|900to1200</v>
      </c>
      <c r="L46" s="143">
        <f t="shared" si="6"/>
        <v>1.18</v>
      </c>
      <c r="M46" s="143">
        <f t="shared" si="7"/>
        <v>26.81</v>
      </c>
      <c r="N46" s="49"/>
      <c r="O46" s="35"/>
      <c r="P46" s="124"/>
    </row>
    <row r="47" spans="2:16">
      <c r="B47" s="146"/>
      <c r="C47" s="208" t="s">
        <v>187</v>
      </c>
      <c r="D47" s="208" t="s">
        <v>181</v>
      </c>
      <c r="E47" s="208" t="b">
        <v>1</v>
      </c>
      <c r="F47" s="208" t="s">
        <v>176</v>
      </c>
      <c r="G47" s="208" t="s">
        <v>177</v>
      </c>
      <c r="H47" s="43" t="str">
        <f t="shared" si="4"/>
        <v>General|TRUE|700to900|FreeDrain</v>
      </c>
      <c r="I47" s="143">
        <v>0.1</v>
      </c>
      <c r="J47" s="143">
        <v>17.95</v>
      </c>
      <c r="K47" s="34" t="str">
        <f t="shared" si="5"/>
        <v>General|700to900</v>
      </c>
      <c r="L47" s="143">
        <f t="shared" si="6"/>
        <v>0.1</v>
      </c>
      <c r="M47" s="143">
        <f t="shared" si="7"/>
        <v>17.95</v>
      </c>
      <c r="N47" s="49"/>
      <c r="O47" s="35"/>
      <c r="P47" s="124"/>
    </row>
    <row r="48" spans="2:16">
      <c r="B48" s="146"/>
      <c r="C48" s="208" t="s">
        <v>187</v>
      </c>
      <c r="D48" s="208" t="s">
        <v>181</v>
      </c>
      <c r="E48" s="208" t="b">
        <v>1</v>
      </c>
      <c r="F48" s="208" t="s">
        <v>176</v>
      </c>
      <c r="G48" s="208" t="s">
        <v>178</v>
      </c>
      <c r="H48" s="43" t="str">
        <f t="shared" si="4"/>
        <v>General|TRUE|700to900|DrainedAr</v>
      </c>
      <c r="I48" s="143">
        <v>0.4</v>
      </c>
      <c r="J48" s="143">
        <v>13.43</v>
      </c>
      <c r="K48" s="34" t="str">
        <f t="shared" si="5"/>
        <v>General|700to900</v>
      </c>
      <c r="L48" s="143">
        <f t="shared" si="6"/>
        <v>0.4</v>
      </c>
      <c r="M48" s="143">
        <f t="shared" si="7"/>
        <v>13.43</v>
      </c>
      <c r="N48" s="49"/>
      <c r="O48" s="35"/>
      <c r="P48" s="124"/>
    </row>
    <row r="49" spans="2:16">
      <c r="B49" s="146"/>
      <c r="C49" s="208" t="s">
        <v>187</v>
      </c>
      <c r="D49" s="208" t="s">
        <v>181</v>
      </c>
      <c r="E49" s="208" t="b">
        <v>1</v>
      </c>
      <c r="F49" s="208" t="s">
        <v>176</v>
      </c>
      <c r="G49" s="208" t="s">
        <v>179</v>
      </c>
      <c r="H49" s="43" t="str">
        <f t="shared" si="4"/>
        <v>General|TRUE|700to900|DrainedArGr</v>
      </c>
      <c r="I49" s="143">
        <v>0.64</v>
      </c>
      <c r="J49" s="143">
        <v>12.05</v>
      </c>
      <c r="K49" s="34" t="str">
        <f t="shared" si="5"/>
        <v>General|700to900</v>
      </c>
      <c r="L49" s="143">
        <f t="shared" si="6"/>
        <v>0.64</v>
      </c>
      <c r="M49" s="143">
        <f t="shared" si="7"/>
        <v>12.05</v>
      </c>
      <c r="N49" s="49"/>
      <c r="O49" s="35"/>
      <c r="P49" s="124"/>
    </row>
    <row r="50" spans="2:16">
      <c r="B50" s="146"/>
      <c r="C50" s="208" t="s">
        <v>187</v>
      </c>
      <c r="D50" s="208" t="s">
        <v>181</v>
      </c>
      <c r="E50" s="208" t="b">
        <v>1</v>
      </c>
      <c r="F50" s="208" t="s">
        <v>180</v>
      </c>
      <c r="G50" s="208" t="s">
        <v>178</v>
      </c>
      <c r="H50" s="43" t="str">
        <f t="shared" si="4"/>
        <v>General|TRUE|900to1200|DrainedAr</v>
      </c>
      <c r="I50" s="143">
        <v>0.76</v>
      </c>
      <c r="J50" s="143">
        <v>17.149999999999999</v>
      </c>
      <c r="K50" s="34" t="str">
        <f t="shared" si="5"/>
        <v>General|900to1200</v>
      </c>
      <c r="L50" s="143">
        <f t="shared" si="6"/>
        <v>0.76</v>
      </c>
      <c r="M50" s="143">
        <f t="shared" si="7"/>
        <v>17.149999999999999</v>
      </c>
      <c r="N50" s="49"/>
      <c r="O50" s="35"/>
      <c r="P50" s="124"/>
    </row>
    <row r="51" spans="2:16">
      <c r="B51" s="146"/>
      <c r="C51" s="208" t="s">
        <v>187</v>
      </c>
      <c r="D51" s="208" t="s">
        <v>181</v>
      </c>
      <c r="E51" s="208" t="b">
        <v>1</v>
      </c>
      <c r="F51" s="208" t="s">
        <v>180</v>
      </c>
      <c r="G51" s="208" t="s">
        <v>179</v>
      </c>
      <c r="H51" s="43" t="str">
        <f t="shared" si="4"/>
        <v>General|TRUE|900to1200|DrainedArGr</v>
      </c>
      <c r="I51" s="143">
        <v>1.08</v>
      </c>
      <c r="J51" s="143">
        <v>14.09</v>
      </c>
      <c r="K51" s="34" t="str">
        <f t="shared" si="5"/>
        <v>General|900to1200</v>
      </c>
      <c r="L51" s="143">
        <f t="shared" si="6"/>
        <v>1.08</v>
      </c>
      <c r="M51" s="143">
        <f t="shared" si="7"/>
        <v>14.09</v>
      </c>
      <c r="N51" s="49"/>
      <c r="O51" s="35"/>
      <c r="P51" s="124"/>
    </row>
    <row r="52" spans="2:16">
      <c r="B52" s="146"/>
      <c r="C52" s="208" t="s">
        <v>187</v>
      </c>
      <c r="D52" s="208" t="s">
        <v>182</v>
      </c>
      <c r="E52" s="208" t="b">
        <v>1</v>
      </c>
      <c r="F52" s="208" t="s">
        <v>176</v>
      </c>
      <c r="G52" s="208" t="s">
        <v>177</v>
      </c>
      <c r="H52" s="43" t="str">
        <f t="shared" si="4"/>
        <v>Horticulture|TRUE|700to900|FreeDrain</v>
      </c>
      <c r="I52" s="143">
        <v>0.11</v>
      </c>
      <c r="J52" s="143">
        <v>20.27</v>
      </c>
      <c r="K52" s="34" t="str">
        <f t="shared" si="5"/>
        <v>Horticulture|700to900</v>
      </c>
      <c r="L52" s="143">
        <f t="shared" si="6"/>
        <v>0.11</v>
      </c>
      <c r="M52" s="143">
        <f t="shared" si="7"/>
        <v>20.27</v>
      </c>
      <c r="N52" s="49"/>
      <c r="O52" s="35"/>
      <c r="P52" s="124"/>
    </row>
    <row r="53" spans="2:16">
      <c r="B53" s="146"/>
      <c r="C53" s="208" t="s">
        <v>187</v>
      </c>
      <c r="D53" s="208" t="s">
        <v>182</v>
      </c>
      <c r="E53" s="208" t="b">
        <v>1</v>
      </c>
      <c r="F53" s="208" t="s">
        <v>176</v>
      </c>
      <c r="G53" s="208" t="s">
        <v>178</v>
      </c>
      <c r="H53" s="43" t="str">
        <f t="shared" si="4"/>
        <v>Horticulture|TRUE|700to900|DrainedAr</v>
      </c>
      <c r="I53" s="143">
        <v>0.52</v>
      </c>
      <c r="J53" s="143">
        <v>14.82</v>
      </c>
      <c r="K53" s="34" t="str">
        <f t="shared" si="5"/>
        <v>Horticulture|700to900</v>
      </c>
      <c r="L53" s="143">
        <f t="shared" si="6"/>
        <v>0.52</v>
      </c>
      <c r="M53" s="143">
        <f t="shared" si="7"/>
        <v>14.82</v>
      </c>
      <c r="N53" s="49"/>
      <c r="O53" s="35"/>
      <c r="P53" s="124"/>
    </row>
    <row r="54" spans="2:16">
      <c r="B54" s="146"/>
      <c r="C54" s="208" t="s">
        <v>187</v>
      </c>
      <c r="D54" s="208" t="s">
        <v>182</v>
      </c>
      <c r="E54" s="208" t="b">
        <v>1</v>
      </c>
      <c r="F54" s="208" t="s">
        <v>176</v>
      </c>
      <c r="G54" s="208" t="s">
        <v>179</v>
      </c>
      <c r="H54" s="43" t="str">
        <f t="shared" si="4"/>
        <v>Horticulture|TRUE|700to900|DrainedArGr</v>
      </c>
      <c r="I54" s="143">
        <v>0.77</v>
      </c>
      <c r="J54" s="143">
        <v>13.18</v>
      </c>
      <c r="K54" s="34" t="str">
        <f t="shared" si="5"/>
        <v>Horticulture|700to900</v>
      </c>
      <c r="L54" s="143">
        <f t="shared" si="6"/>
        <v>0.77</v>
      </c>
      <c r="M54" s="143">
        <f t="shared" si="7"/>
        <v>13.18</v>
      </c>
      <c r="N54" s="49"/>
      <c r="O54" s="35"/>
      <c r="P54" s="124"/>
    </row>
    <row r="55" spans="2:16">
      <c r="B55" s="146"/>
      <c r="C55" s="208" t="s">
        <v>187</v>
      </c>
      <c r="D55" s="208" t="s">
        <v>182</v>
      </c>
      <c r="E55" s="208" t="b">
        <v>1</v>
      </c>
      <c r="F55" s="208" t="s">
        <v>180</v>
      </c>
      <c r="G55" s="208" t="s">
        <v>178</v>
      </c>
      <c r="H55" s="43" t="str">
        <f t="shared" si="4"/>
        <v>Horticulture|TRUE|900to1200|DrainedAr</v>
      </c>
      <c r="I55" s="143">
        <v>0.98</v>
      </c>
      <c r="J55" s="143">
        <v>18.78</v>
      </c>
      <c r="K55" s="34" t="str">
        <f t="shared" si="5"/>
        <v>Horticulture|900to1200</v>
      </c>
      <c r="L55" s="143">
        <f t="shared" si="6"/>
        <v>0.98</v>
      </c>
      <c r="M55" s="143">
        <f t="shared" si="7"/>
        <v>18.78</v>
      </c>
      <c r="N55" s="49"/>
      <c r="O55" s="35"/>
      <c r="P55" s="124"/>
    </row>
    <row r="56" spans="2:16">
      <c r="B56" s="146"/>
      <c r="C56" s="208" t="s">
        <v>187</v>
      </c>
      <c r="D56" s="208" t="s">
        <v>182</v>
      </c>
      <c r="E56" s="208" t="b">
        <v>1</v>
      </c>
      <c r="F56" s="208" t="s">
        <v>180</v>
      </c>
      <c r="G56" s="208" t="s">
        <v>179</v>
      </c>
      <c r="H56" s="43" t="str">
        <f t="shared" si="4"/>
        <v>Horticulture|TRUE|900to1200|DrainedArGr</v>
      </c>
      <c r="I56" s="143">
        <v>1.26</v>
      </c>
      <c r="J56" s="143">
        <v>15.11</v>
      </c>
      <c r="K56" s="34" t="str">
        <f t="shared" si="5"/>
        <v>Horticulture|900to1200</v>
      </c>
      <c r="L56" s="143">
        <f t="shared" si="6"/>
        <v>1.26</v>
      </c>
      <c r="M56" s="143">
        <f t="shared" si="7"/>
        <v>15.11</v>
      </c>
      <c r="N56" s="49"/>
      <c r="O56" s="35"/>
      <c r="P56" s="124"/>
    </row>
    <row r="57" spans="2:16">
      <c r="B57" s="146"/>
      <c r="C57" s="208" t="s">
        <v>187</v>
      </c>
      <c r="D57" s="208" t="s">
        <v>188</v>
      </c>
      <c r="E57" s="208" t="b">
        <v>1</v>
      </c>
      <c r="F57" s="208" t="s">
        <v>176</v>
      </c>
      <c r="G57" s="208" t="s">
        <v>177</v>
      </c>
      <c r="H57" s="43" t="str">
        <f t="shared" si="4"/>
        <v>Pig|TRUE|700to900|FreeDrain</v>
      </c>
      <c r="I57" s="143">
        <v>0.14000000000000001</v>
      </c>
      <c r="J57" s="143">
        <v>85.33</v>
      </c>
      <c r="K57" s="34" t="str">
        <f t="shared" si="5"/>
        <v>Pig|700to900</v>
      </c>
      <c r="L57" s="143">
        <f t="shared" si="6"/>
        <v>0.14000000000000001</v>
      </c>
      <c r="M57" s="143">
        <f t="shared" si="7"/>
        <v>85.33</v>
      </c>
      <c r="N57" s="49">
        <f>AVERAGE(I57:I59)</f>
        <v>0.91000000000000014</v>
      </c>
      <c r="O57" s="35">
        <f>AVERAGE(J57:J59)</f>
        <v>61.013333333333328</v>
      </c>
      <c r="P57" s="124"/>
    </row>
    <row r="58" spans="2:16">
      <c r="B58" s="146"/>
      <c r="C58" s="208" t="s">
        <v>187</v>
      </c>
      <c r="D58" s="208" t="s">
        <v>188</v>
      </c>
      <c r="E58" s="208" t="b">
        <v>1</v>
      </c>
      <c r="F58" s="208" t="s">
        <v>176</v>
      </c>
      <c r="G58" s="208" t="s">
        <v>179</v>
      </c>
      <c r="H58" s="43" t="str">
        <f t="shared" si="4"/>
        <v>Pig|TRUE|700to900|DrainedArGr</v>
      </c>
      <c r="I58" s="143">
        <v>1.02</v>
      </c>
      <c r="J58" s="143">
        <v>46.64</v>
      </c>
      <c r="K58" s="34" t="str">
        <f t="shared" si="5"/>
        <v>Pig|700to900</v>
      </c>
      <c r="L58" s="143">
        <f t="shared" si="6"/>
        <v>1.02</v>
      </c>
      <c r="M58" s="35">
        <f t="shared" si="7"/>
        <v>46.64</v>
      </c>
      <c r="N58" s="28"/>
      <c r="O58" s="28"/>
      <c r="P58" s="124"/>
    </row>
    <row r="59" spans="2:16">
      <c r="B59" s="146"/>
      <c r="C59" s="208" t="s">
        <v>187</v>
      </c>
      <c r="D59" s="208" t="s">
        <v>188</v>
      </c>
      <c r="E59" s="208" t="b">
        <v>1</v>
      </c>
      <c r="F59" s="208" t="s">
        <v>180</v>
      </c>
      <c r="G59" s="208" t="s">
        <v>179</v>
      </c>
      <c r="H59" s="43" t="str">
        <f t="shared" si="4"/>
        <v>Pig|TRUE|900to1200|DrainedArGr</v>
      </c>
      <c r="I59" s="143">
        <v>1.57</v>
      </c>
      <c r="J59" s="143">
        <v>51.07</v>
      </c>
      <c r="K59" s="34" t="str">
        <f t="shared" si="5"/>
        <v>Pig|900to1200</v>
      </c>
      <c r="L59" s="143">
        <f t="shared" si="6"/>
        <v>1.57</v>
      </c>
      <c r="M59" s="35">
        <f t="shared" si="7"/>
        <v>51.07</v>
      </c>
      <c r="N59" s="28"/>
      <c r="O59" s="28"/>
      <c r="P59" s="124"/>
    </row>
    <row r="60" spans="2:16">
      <c r="B60" s="146"/>
      <c r="C60" s="208" t="s">
        <v>187</v>
      </c>
      <c r="D60" s="208" t="s">
        <v>183</v>
      </c>
      <c r="E60" s="208" t="b">
        <v>1</v>
      </c>
      <c r="F60" s="208" t="s">
        <v>176</v>
      </c>
      <c r="G60" s="208" t="s">
        <v>177</v>
      </c>
      <c r="H60" s="43" t="str">
        <f t="shared" si="4"/>
        <v>Poultry|TRUE|700to900|FreeDrain</v>
      </c>
      <c r="I60" s="143">
        <v>0.19</v>
      </c>
      <c r="J60" s="143">
        <v>181.05</v>
      </c>
      <c r="K60" s="34" t="str">
        <f t="shared" si="5"/>
        <v>Poultry|700to900</v>
      </c>
      <c r="L60" s="143">
        <f t="shared" si="6"/>
        <v>0.19</v>
      </c>
      <c r="M60" s="35">
        <f t="shared" si="7"/>
        <v>181.05</v>
      </c>
      <c r="N60" s="28"/>
      <c r="O60" s="28"/>
      <c r="P60" s="124"/>
    </row>
    <row r="61" spans="2:16">
      <c r="B61" s="146"/>
      <c r="C61" s="208" t="s">
        <v>187</v>
      </c>
      <c r="D61" s="208" t="s">
        <v>183</v>
      </c>
      <c r="E61" s="208" t="b">
        <v>1</v>
      </c>
      <c r="F61" s="208" t="s">
        <v>176</v>
      </c>
      <c r="G61" s="208" t="s">
        <v>179</v>
      </c>
      <c r="H61" s="43" t="str">
        <f t="shared" si="4"/>
        <v>Poultry|TRUE|700to900|DrainedArGr</v>
      </c>
      <c r="I61" s="143">
        <v>0.94</v>
      </c>
      <c r="J61" s="143">
        <v>92.3</v>
      </c>
      <c r="K61" s="34" t="str">
        <f t="shared" si="5"/>
        <v>Poultry|700to900</v>
      </c>
      <c r="L61" s="143">
        <f t="shared" si="6"/>
        <v>0.94</v>
      </c>
      <c r="M61" s="35">
        <f t="shared" si="7"/>
        <v>92.3</v>
      </c>
      <c r="N61" s="28"/>
      <c r="O61" s="28"/>
      <c r="P61" s="124"/>
    </row>
    <row r="62" spans="2:16">
      <c r="B62" s="146"/>
      <c r="C62" s="208" t="s">
        <v>187</v>
      </c>
      <c r="D62" s="208" t="s">
        <v>183</v>
      </c>
      <c r="E62" s="208" t="b">
        <v>1</v>
      </c>
      <c r="F62" s="208" t="s">
        <v>180</v>
      </c>
      <c r="G62" s="208" t="s">
        <v>178</v>
      </c>
      <c r="H62" s="43" t="str">
        <f t="shared" si="4"/>
        <v>Poultry|TRUE|900to1200|DrainedAr</v>
      </c>
      <c r="I62" s="143">
        <v>0.83</v>
      </c>
      <c r="J62" s="143">
        <v>141.51</v>
      </c>
      <c r="K62" s="34" t="str">
        <f t="shared" si="5"/>
        <v>Poultry|900to1200</v>
      </c>
      <c r="L62" s="143">
        <f t="shared" si="6"/>
        <v>0.83</v>
      </c>
      <c r="M62" s="35">
        <f t="shared" si="7"/>
        <v>141.51</v>
      </c>
      <c r="N62" s="28"/>
      <c r="O62" s="28"/>
      <c r="P62" s="124"/>
    </row>
    <row r="63" spans="2:16">
      <c r="B63" s="146"/>
      <c r="C63" s="208" t="s">
        <v>187</v>
      </c>
      <c r="D63" s="208" t="s">
        <v>183</v>
      </c>
      <c r="E63" s="208" t="b">
        <v>1</v>
      </c>
      <c r="F63" s="208" t="s">
        <v>180</v>
      </c>
      <c r="G63" s="208" t="s">
        <v>179</v>
      </c>
      <c r="H63" s="43" t="str">
        <f t="shared" si="4"/>
        <v>Poultry|TRUE|900to1200|DrainedArGr</v>
      </c>
      <c r="I63" s="143">
        <v>1.5</v>
      </c>
      <c r="J63" s="143">
        <v>99.64</v>
      </c>
      <c r="K63" s="34" t="str">
        <f t="shared" si="5"/>
        <v>Poultry|900to1200</v>
      </c>
      <c r="L63" s="143">
        <f t="shared" si="6"/>
        <v>1.5</v>
      </c>
      <c r="M63" s="35">
        <f t="shared" si="7"/>
        <v>99.64</v>
      </c>
      <c r="N63" s="28"/>
      <c r="O63" s="28"/>
      <c r="P63" s="124"/>
    </row>
    <row r="64" spans="2:16">
      <c r="B64" s="146"/>
      <c r="C64" s="208" t="s">
        <v>187</v>
      </c>
      <c r="D64" s="208" t="s">
        <v>184</v>
      </c>
      <c r="E64" s="208" t="b">
        <v>1</v>
      </c>
      <c r="F64" s="208" t="s">
        <v>176</v>
      </c>
      <c r="G64" s="208" t="s">
        <v>177</v>
      </c>
      <c r="H64" s="43" t="str">
        <f t="shared" si="4"/>
        <v>Dairy|TRUE|700to900|FreeDrain</v>
      </c>
      <c r="I64" s="143">
        <v>0.15</v>
      </c>
      <c r="J64" s="143">
        <v>35.340000000000003</v>
      </c>
      <c r="K64" s="34" t="str">
        <f t="shared" si="5"/>
        <v>Dairy|700to900</v>
      </c>
      <c r="L64" s="143">
        <f t="shared" si="6"/>
        <v>0.15</v>
      </c>
      <c r="M64" s="35">
        <f t="shared" si="7"/>
        <v>35.340000000000003</v>
      </c>
      <c r="N64" s="28"/>
      <c r="O64" s="28"/>
      <c r="P64" s="124"/>
    </row>
    <row r="65" spans="2:16">
      <c r="B65" s="146"/>
      <c r="C65" s="208" t="s">
        <v>187</v>
      </c>
      <c r="D65" s="208" t="s">
        <v>184</v>
      </c>
      <c r="E65" s="208" t="b">
        <v>1</v>
      </c>
      <c r="F65" s="208" t="s">
        <v>176</v>
      </c>
      <c r="G65" s="208" t="s">
        <v>179</v>
      </c>
      <c r="H65" s="43" t="str">
        <f t="shared" si="4"/>
        <v>Dairy|TRUE|700to900|DrainedArGr</v>
      </c>
      <c r="I65" s="143">
        <v>1.01</v>
      </c>
      <c r="J65" s="143">
        <v>16.37</v>
      </c>
      <c r="K65" s="34" t="str">
        <f t="shared" si="5"/>
        <v>Dairy|700to900</v>
      </c>
      <c r="L65" s="143">
        <f t="shared" si="6"/>
        <v>1.01</v>
      </c>
      <c r="M65" s="35">
        <f t="shared" si="7"/>
        <v>16.37</v>
      </c>
      <c r="N65" s="28"/>
      <c r="O65" s="28"/>
      <c r="P65" s="124"/>
    </row>
    <row r="66" spans="2:16">
      <c r="B66" s="146"/>
      <c r="C66" s="208" t="s">
        <v>187</v>
      </c>
      <c r="D66" s="208" t="s">
        <v>185</v>
      </c>
      <c r="E66" s="208" t="b">
        <v>1</v>
      </c>
      <c r="F66" s="208" t="s">
        <v>176</v>
      </c>
      <c r="G66" s="208" t="s">
        <v>177</v>
      </c>
      <c r="H66" s="43" t="str">
        <f t="shared" si="4"/>
        <v>Lowland|TRUE|700to900|FreeDrain</v>
      </c>
      <c r="I66" s="143">
        <v>0.09</v>
      </c>
      <c r="J66" s="143">
        <v>13.36</v>
      </c>
      <c r="K66" s="34" t="str">
        <f t="shared" si="5"/>
        <v>Lowland|700to900</v>
      </c>
      <c r="L66" s="143">
        <f t="shared" si="6"/>
        <v>0.09</v>
      </c>
      <c r="M66" s="35">
        <f t="shared" si="7"/>
        <v>13.36</v>
      </c>
      <c r="N66" s="28"/>
      <c r="O66" s="28"/>
      <c r="P66" s="124"/>
    </row>
    <row r="67" spans="2:16">
      <c r="B67" s="146"/>
      <c r="C67" s="208" t="s">
        <v>187</v>
      </c>
      <c r="D67" s="208" t="s">
        <v>185</v>
      </c>
      <c r="E67" s="208" t="b">
        <v>0</v>
      </c>
      <c r="F67" s="208" t="s">
        <v>176</v>
      </c>
      <c r="G67" s="208" t="s">
        <v>178</v>
      </c>
      <c r="H67" s="43" t="str">
        <f t="shared" si="4"/>
        <v>Lowland|FALSE|700to900|DrainedAr</v>
      </c>
      <c r="I67" s="143">
        <v>0.19</v>
      </c>
      <c r="J67" s="143">
        <v>10.51</v>
      </c>
      <c r="K67" s="34" t="str">
        <f t="shared" si="5"/>
        <v>Lowland|700to900</v>
      </c>
      <c r="L67" s="143">
        <f t="shared" si="6"/>
        <v>0.19</v>
      </c>
      <c r="M67" s="35">
        <f t="shared" si="7"/>
        <v>10.51</v>
      </c>
      <c r="N67" s="28"/>
      <c r="O67" s="28"/>
      <c r="P67" s="124"/>
    </row>
    <row r="68" spans="2:16">
      <c r="B68" s="146"/>
      <c r="C68" s="208" t="s">
        <v>187</v>
      </c>
      <c r="D68" s="208" t="s">
        <v>185</v>
      </c>
      <c r="E68" s="208" t="b">
        <v>1</v>
      </c>
      <c r="F68" s="208" t="s">
        <v>176</v>
      </c>
      <c r="G68" s="208" t="s">
        <v>178</v>
      </c>
      <c r="H68" s="43" t="str">
        <f t="shared" si="4"/>
        <v>Lowland|TRUE|700to900|DrainedAr</v>
      </c>
      <c r="I68" s="143">
        <v>0.19</v>
      </c>
      <c r="J68" s="143">
        <v>10.44</v>
      </c>
      <c r="K68" s="34" t="str">
        <f t="shared" si="5"/>
        <v>Lowland|700to900</v>
      </c>
      <c r="L68" s="143">
        <f t="shared" si="6"/>
        <v>0.19</v>
      </c>
      <c r="M68" s="35">
        <f t="shared" si="7"/>
        <v>10.44</v>
      </c>
      <c r="N68" s="28"/>
      <c r="O68" s="28"/>
      <c r="P68" s="124"/>
    </row>
    <row r="69" spans="2:16">
      <c r="B69" s="146"/>
      <c r="C69" s="208" t="s">
        <v>187</v>
      </c>
      <c r="D69" s="208" t="s">
        <v>185</v>
      </c>
      <c r="E69" s="208" t="b">
        <v>0</v>
      </c>
      <c r="F69" s="208" t="s">
        <v>176</v>
      </c>
      <c r="G69" s="208" t="s">
        <v>179</v>
      </c>
      <c r="H69" s="43" t="str">
        <f t="shared" si="4"/>
        <v>Lowland|FALSE|700to900|DrainedArGr</v>
      </c>
      <c r="I69" s="143">
        <v>0.62</v>
      </c>
      <c r="J69" s="143">
        <v>7.3</v>
      </c>
      <c r="K69" s="34" t="str">
        <f t="shared" si="5"/>
        <v>Lowland|700to900</v>
      </c>
      <c r="L69" s="143">
        <f t="shared" si="6"/>
        <v>0.62</v>
      </c>
      <c r="M69" s="35">
        <f t="shared" si="7"/>
        <v>7.3</v>
      </c>
      <c r="N69" s="28"/>
      <c r="O69" s="28"/>
      <c r="P69" s="124"/>
    </row>
    <row r="70" spans="2:16">
      <c r="B70" s="146"/>
      <c r="C70" s="208" t="s">
        <v>187</v>
      </c>
      <c r="D70" s="208" t="s">
        <v>185</v>
      </c>
      <c r="E70" s="208" t="b">
        <v>1</v>
      </c>
      <c r="F70" s="208" t="s">
        <v>176</v>
      </c>
      <c r="G70" s="208" t="s">
        <v>179</v>
      </c>
      <c r="H70" s="43" t="str">
        <f t="shared" si="4"/>
        <v>Lowland|TRUE|700to900|DrainedArGr</v>
      </c>
      <c r="I70" s="143">
        <v>0.62</v>
      </c>
      <c r="J70" s="143">
        <v>7.28</v>
      </c>
      <c r="K70" s="34" t="str">
        <f t="shared" si="5"/>
        <v>Lowland|700to900</v>
      </c>
      <c r="L70" s="143">
        <f t="shared" si="6"/>
        <v>0.62</v>
      </c>
      <c r="M70" s="35">
        <f t="shared" si="7"/>
        <v>7.28</v>
      </c>
      <c r="N70" s="28"/>
      <c r="O70" s="28"/>
      <c r="P70" s="124"/>
    </row>
    <row r="71" spans="2:16">
      <c r="B71" s="146"/>
      <c r="C71" s="208" t="s">
        <v>187</v>
      </c>
      <c r="D71" s="208" t="s">
        <v>185</v>
      </c>
      <c r="E71" s="208" t="b">
        <v>1</v>
      </c>
      <c r="F71" s="208" t="s">
        <v>180</v>
      </c>
      <c r="G71" s="208" t="s">
        <v>178</v>
      </c>
      <c r="H71" s="43" t="str">
        <f t="shared" si="4"/>
        <v>Lowland|TRUE|900to1200|DrainedAr</v>
      </c>
      <c r="I71" s="143">
        <v>0.34</v>
      </c>
      <c r="J71" s="143">
        <v>13.18</v>
      </c>
      <c r="K71" s="34" t="str">
        <f t="shared" si="5"/>
        <v>Lowland|900to1200</v>
      </c>
      <c r="L71" s="143">
        <f t="shared" si="6"/>
        <v>0.34</v>
      </c>
      <c r="M71" s="35">
        <f t="shared" si="7"/>
        <v>13.18</v>
      </c>
      <c r="N71" s="28"/>
      <c r="O71" s="28"/>
      <c r="P71" s="124"/>
    </row>
    <row r="72" spans="2:16">
      <c r="B72" s="146"/>
      <c r="C72" s="208" t="s">
        <v>187</v>
      </c>
      <c r="D72" s="208" t="s">
        <v>185</v>
      </c>
      <c r="E72" s="208" t="b">
        <v>1</v>
      </c>
      <c r="F72" s="208" t="s">
        <v>180</v>
      </c>
      <c r="G72" s="208" t="s">
        <v>179</v>
      </c>
      <c r="H72" s="43" t="str">
        <f t="shared" si="4"/>
        <v>Lowland|TRUE|900to1200|DrainedArGr</v>
      </c>
      <c r="I72" s="143">
        <v>1.04</v>
      </c>
      <c r="J72" s="143">
        <v>9.6</v>
      </c>
      <c r="K72" s="34" t="str">
        <f t="shared" si="5"/>
        <v>Lowland|900to1200</v>
      </c>
      <c r="L72" s="143">
        <f t="shared" si="6"/>
        <v>1.04</v>
      </c>
      <c r="M72" s="35">
        <f t="shared" si="7"/>
        <v>9.6</v>
      </c>
      <c r="N72" s="28"/>
      <c r="O72" s="28"/>
      <c r="P72" s="124"/>
    </row>
    <row r="73" spans="2:16">
      <c r="B73" s="146"/>
      <c r="C73" s="208" t="s">
        <v>187</v>
      </c>
      <c r="D73" s="208" t="s">
        <v>186</v>
      </c>
      <c r="E73" s="208" t="b">
        <v>1</v>
      </c>
      <c r="F73" s="208" t="s">
        <v>176</v>
      </c>
      <c r="G73" s="208" t="s">
        <v>177</v>
      </c>
      <c r="H73" s="43" t="str">
        <f t="shared" si="4"/>
        <v>Mixed|TRUE|700to900|FreeDrain</v>
      </c>
      <c r="I73" s="143">
        <v>0.12</v>
      </c>
      <c r="J73" s="143">
        <v>25.46</v>
      </c>
      <c r="K73" s="34" t="str">
        <f t="shared" si="5"/>
        <v>Mixed|700to900</v>
      </c>
      <c r="L73" s="143">
        <f t="shared" si="6"/>
        <v>0.12</v>
      </c>
      <c r="M73" s="35">
        <f t="shared" si="7"/>
        <v>25.46</v>
      </c>
      <c r="N73" s="28"/>
      <c r="O73" s="28"/>
      <c r="P73" s="124"/>
    </row>
    <row r="74" spans="2:16">
      <c r="B74" s="146"/>
      <c r="C74" s="208" t="s">
        <v>187</v>
      </c>
      <c r="D74" s="208" t="s">
        <v>186</v>
      </c>
      <c r="E74" s="208" t="b">
        <v>1</v>
      </c>
      <c r="F74" s="208" t="s">
        <v>176</v>
      </c>
      <c r="G74" s="208" t="s">
        <v>179</v>
      </c>
      <c r="H74" s="43" t="str">
        <f t="shared" si="4"/>
        <v>Mixed|TRUE|700to900|DrainedArGr</v>
      </c>
      <c r="I74" s="143">
        <v>0.83</v>
      </c>
      <c r="J74" s="143">
        <v>15.87</v>
      </c>
      <c r="K74" s="34" t="str">
        <f t="shared" si="5"/>
        <v>Mixed|700to900</v>
      </c>
      <c r="L74" s="143">
        <f t="shared" si="6"/>
        <v>0.83</v>
      </c>
      <c r="M74" s="35">
        <f t="shared" si="7"/>
        <v>15.87</v>
      </c>
      <c r="N74" s="28"/>
      <c r="O74" s="28"/>
      <c r="P74" s="124"/>
    </row>
    <row r="75" spans="2:16">
      <c r="B75" s="146"/>
      <c r="C75" s="208" t="s">
        <v>187</v>
      </c>
      <c r="D75" s="208" t="s">
        <v>186</v>
      </c>
      <c r="E75" s="208" t="b">
        <v>1</v>
      </c>
      <c r="F75" s="208" t="s">
        <v>180</v>
      </c>
      <c r="G75" s="208" t="s">
        <v>178</v>
      </c>
      <c r="H75" s="43" t="str">
        <f t="shared" si="4"/>
        <v>Mixed|TRUE|900to1200|DrainedAr</v>
      </c>
      <c r="I75" s="143">
        <v>0.84</v>
      </c>
      <c r="J75" s="143">
        <v>24.25</v>
      </c>
      <c r="K75" s="34" t="str">
        <f t="shared" si="5"/>
        <v>Mixed|900to1200</v>
      </c>
      <c r="L75" s="143">
        <f t="shared" si="6"/>
        <v>0.84</v>
      </c>
      <c r="M75" s="35">
        <f t="shared" si="7"/>
        <v>24.25</v>
      </c>
      <c r="N75" s="28"/>
      <c r="O75" s="28"/>
      <c r="P75" s="124"/>
    </row>
    <row r="76" spans="2:16">
      <c r="B76" s="146"/>
      <c r="C76" s="208" t="s">
        <v>187</v>
      </c>
      <c r="D76" s="208" t="s">
        <v>186</v>
      </c>
      <c r="E76" s="208" t="b">
        <v>1</v>
      </c>
      <c r="F76" s="208" t="s">
        <v>180</v>
      </c>
      <c r="G76" s="208" t="s">
        <v>179</v>
      </c>
      <c r="H76" s="43" t="str">
        <f t="shared" si="4"/>
        <v>Mixed|TRUE|900to1200|DrainedArGr</v>
      </c>
      <c r="I76" s="143">
        <v>1.36</v>
      </c>
      <c r="J76" s="143">
        <v>18.760000000000002</v>
      </c>
      <c r="K76" s="34" t="str">
        <f t="shared" si="5"/>
        <v>Mixed|900to1200</v>
      </c>
      <c r="L76" s="143">
        <f t="shared" si="6"/>
        <v>1.36</v>
      </c>
      <c r="M76" s="35">
        <f t="shared" si="7"/>
        <v>18.760000000000002</v>
      </c>
      <c r="N76" s="28"/>
      <c r="O76" s="28"/>
      <c r="P76" s="124"/>
    </row>
    <row r="77" spans="2:16">
      <c r="B77" s="146"/>
      <c r="C77" s="208" t="s">
        <v>189</v>
      </c>
      <c r="D77" s="208" t="s">
        <v>175</v>
      </c>
      <c r="E77" s="208" t="b">
        <v>1</v>
      </c>
      <c r="F77" s="208" t="s">
        <v>176</v>
      </c>
      <c r="G77" s="208" t="s">
        <v>177</v>
      </c>
      <c r="H77" s="43" t="str">
        <f t="shared" si="4"/>
        <v>Cereals|TRUE|700to900|FreeDrain</v>
      </c>
      <c r="I77" s="143">
        <v>0.09</v>
      </c>
      <c r="J77" s="143">
        <v>27.93</v>
      </c>
      <c r="K77" s="34" t="str">
        <f t="shared" si="5"/>
        <v>Cereals|700to900</v>
      </c>
      <c r="L77" s="143">
        <f t="shared" si="6"/>
        <v>0.09</v>
      </c>
      <c r="M77" s="35">
        <f t="shared" si="7"/>
        <v>27.93</v>
      </c>
      <c r="N77" s="28"/>
      <c r="O77" s="28"/>
      <c r="P77" s="124"/>
    </row>
    <row r="78" spans="2:16">
      <c r="B78" s="146"/>
      <c r="C78" s="208" t="s">
        <v>189</v>
      </c>
      <c r="D78" s="208" t="s">
        <v>175</v>
      </c>
      <c r="E78" s="208" t="b">
        <v>1</v>
      </c>
      <c r="F78" s="208" t="s">
        <v>176</v>
      </c>
      <c r="G78" s="208" t="s">
        <v>178</v>
      </c>
      <c r="H78" s="43" t="str">
        <f t="shared" si="4"/>
        <v>Cereals|TRUE|700to900|DrainedAr</v>
      </c>
      <c r="I78" s="143">
        <v>0.67</v>
      </c>
      <c r="J78" s="143">
        <v>21.48</v>
      </c>
      <c r="K78" s="34" t="str">
        <f t="shared" si="5"/>
        <v>Cereals|700to900</v>
      </c>
      <c r="L78" s="143">
        <f>I78</f>
        <v>0.67</v>
      </c>
      <c r="M78" s="35">
        <f t="shared" si="7"/>
        <v>21.48</v>
      </c>
      <c r="N78" s="28"/>
      <c r="O78" s="28"/>
      <c r="P78" s="124"/>
    </row>
    <row r="79" spans="2:16">
      <c r="B79" s="146"/>
      <c r="C79" s="208" t="s">
        <v>189</v>
      </c>
      <c r="D79" s="208" t="s">
        <v>175</v>
      </c>
      <c r="E79" s="208" t="b">
        <v>1</v>
      </c>
      <c r="F79" s="208" t="s">
        <v>180</v>
      </c>
      <c r="G79" s="208" t="s">
        <v>177</v>
      </c>
      <c r="H79" s="43" t="str">
        <f t="shared" si="4"/>
        <v>Cereals|TRUE|900to1200|FreeDrain</v>
      </c>
      <c r="I79" s="143">
        <v>0.15</v>
      </c>
      <c r="J79" s="143">
        <v>29.73</v>
      </c>
      <c r="K79" s="34" t="str">
        <f t="shared" si="5"/>
        <v>Cereals|900to1200</v>
      </c>
      <c r="L79" s="143">
        <f t="shared" si="6"/>
        <v>0.15</v>
      </c>
      <c r="M79" s="35">
        <f t="shared" si="7"/>
        <v>29.73</v>
      </c>
      <c r="N79" s="28"/>
      <c r="O79" s="28"/>
      <c r="P79" s="124"/>
    </row>
    <row r="80" spans="2:16">
      <c r="B80" s="146"/>
      <c r="C80" s="208" t="s">
        <v>189</v>
      </c>
      <c r="D80" s="208" t="s">
        <v>181</v>
      </c>
      <c r="E80" s="208" t="b">
        <v>1</v>
      </c>
      <c r="F80" s="208" t="s">
        <v>176</v>
      </c>
      <c r="G80" s="208" t="s">
        <v>177</v>
      </c>
      <c r="H80" s="43" t="str">
        <f t="shared" si="4"/>
        <v>General|TRUE|700to900|FreeDrain</v>
      </c>
      <c r="I80" s="143">
        <v>7.0000000000000007E-2</v>
      </c>
      <c r="J80" s="143">
        <v>19.64</v>
      </c>
      <c r="K80" s="34" t="str">
        <f t="shared" si="5"/>
        <v>General|700to900</v>
      </c>
      <c r="L80" s="143">
        <f t="shared" si="6"/>
        <v>7.0000000000000007E-2</v>
      </c>
      <c r="M80" s="35">
        <f t="shared" si="7"/>
        <v>19.64</v>
      </c>
      <c r="N80" s="28"/>
      <c r="O80" s="28"/>
      <c r="P80" s="124"/>
    </row>
    <row r="81" spans="2:16">
      <c r="B81" s="146"/>
      <c r="C81" s="208" t="s">
        <v>189</v>
      </c>
      <c r="D81" s="208" t="s">
        <v>181</v>
      </c>
      <c r="E81" s="208" t="b">
        <v>1</v>
      </c>
      <c r="F81" s="208" t="s">
        <v>176</v>
      </c>
      <c r="G81" s="208" t="s">
        <v>178</v>
      </c>
      <c r="H81" s="43" t="str">
        <f t="shared" si="4"/>
        <v>General|TRUE|700to900|DrainedAr</v>
      </c>
      <c r="I81" s="143">
        <v>0.45</v>
      </c>
      <c r="J81" s="143">
        <v>14.79</v>
      </c>
      <c r="K81" s="34" t="str">
        <f t="shared" si="5"/>
        <v>General|700to900</v>
      </c>
      <c r="L81" s="143">
        <f t="shared" si="6"/>
        <v>0.45</v>
      </c>
      <c r="M81" s="35">
        <f t="shared" si="7"/>
        <v>14.79</v>
      </c>
      <c r="N81" s="28"/>
      <c r="O81" s="28"/>
      <c r="P81" s="124"/>
    </row>
    <row r="82" spans="2:16">
      <c r="B82" s="146"/>
      <c r="C82" s="208" t="s">
        <v>189</v>
      </c>
      <c r="D82" s="208" t="s">
        <v>181</v>
      </c>
      <c r="E82" s="208" t="b">
        <v>1</v>
      </c>
      <c r="F82" s="208" t="s">
        <v>180</v>
      </c>
      <c r="G82" s="208" t="s">
        <v>177</v>
      </c>
      <c r="H82" s="43" t="str">
        <f t="shared" si="4"/>
        <v>General|TRUE|900to1200|FreeDrain</v>
      </c>
      <c r="I82" s="143">
        <v>0.12</v>
      </c>
      <c r="J82" s="143">
        <v>21.1</v>
      </c>
      <c r="K82" s="34" t="str">
        <f t="shared" si="5"/>
        <v>General|900to1200</v>
      </c>
      <c r="L82" s="143">
        <f t="shared" si="6"/>
        <v>0.12</v>
      </c>
      <c r="M82" s="35">
        <f t="shared" si="7"/>
        <v>21.1</v>
      </c>
      <c r="N82" s="28"/>
      <c r="O82" s="28"/>
      <c r="P82" s="124"/>
    </row>
    <row r="83" spans="2:16">
      <c r="B83" s="146"/>
      <c r="C83" s="208" t="s">
        <v>189</v>
      </c>
      <c r="D83" s="208" t="s">
        <v>190</v>
      </c>
      <c r="E83" s="208" t="b">
        <v>1</v>
      </c>
      <c r="F83" s="208" t="s">
        <v>176</v>
      </c>
      <c r="G83" s="208" t="s">
        <v>177</v>
      </c>
      <c r="H83" s="43" t="str">
        <f t="shared" si="4"/>
        <v>Hortic|TRUE|700to900|FreeDrain</v>
      </c>
      <c r="I83" s="143">
        <v>7.0000000000000007E-2</v>
      </c>
      <c r="J83" s="143">
        <v>21.02</v>
      </c>
      <c r="K83" s="34" t="str">
        <f t="shared" si="5"/>
        <v>Hortic|700to900</v>
      </c>
      <c r="L83" s="143">
        <f t="shared" si="6"/>
        <v>7.0000000000000007E-2</v>
      </c>
      <c r="M83" s="35">
        <f t="shared" si="7"/>
        <v>21.02</v>
      </c>
      <c r="N83" s="28"/>
      <c r="O83" s="28"/>
      <c r="P83" s="124"/>
    </row>
    <row r="84" spans="2:16">
      <c r="B84" s="146"/>
      <c r="C84" s="208" t="s">
        <v>189</v>
      </c>
      <c r="D84" s="208" t="s">
        <v>190</v>
      </c>
      <c r="E84" s="208" t="b">
        <v>1</v>
      </c>
      <c r="F84" s="208" t="s">
        <v>180</v>
      </c>
      <c r="G84" s="208" t="s">
        <v>177</v>
      </c>
      <c r="H84" s="43" t="str">
        <f t="shared" si="4"/>
        <v>Hortic|TRUE|900to1200|FreeDrain</v>
      </c>
      <c r="I84" s="143">
        <v>0.13</v>
      </c>
      <c r="J84" s="143">
        <v>22.64</v>
      </c>
      <c r="K84" s="34" t="str">
        <f t="shared" si="5"/>
        <v>Hortic|900to1200</v>
      </c>
      <c r="L84" s="143">
        <f t="shared" si="6"/>
        <v>0.13</v>
      </c>
      <c r="M84" s="35">
        <f t="shared" si="7"/>
        <v>22.64</v>
      </c>
      <c r="N84" s="28"/>
      <c r="O84" s="28"/>
      <c r="P84" s="124"/>
    </row>
    <row r="85" spans="2:16">
      <c r="B85" s="146"/>
      <c r="C85" s="208" t="s">
        <v>189</v>
      </c>
      <c r="D85" s="208" t="s">
        <v>188</v>
      </c>
      <c r="E85" s="208" t="b">
        <v>1</v>
      </c>
      <c r="F85" s="208" t="s">
        <v>176</v>
      </c>
      <c r="G85" s="208" t="s">
        <v>177</v>
      </c>
      <c r="H85" s="43" t="str">
        <f t="shared" si="4"/>
        <v>Pig|TRUE|700to900|FreeDrain</v>
      </c>
      <c r="I85" s="143">
        <v>0.08</v>
      </c>
      <c r="J85" s="143">
        <v>63.94</v>
      </c>
      <c r="K85" s="34" t="str">
        <f t="shared" si="5"/>
        <v>Pig|700to900</v>
      </c>
      <c r="L85" s="143">
        <f t="shared" si="6"/>
        <v>0.08</v>
      </c>
      <c r="M85" s="35">
        <f t="shared" si="7"/>
        <v>63.94</v>
      </c>
      <c r="N85" s="28"/>
      <c r="O85" s="28"/>
      <c r="P85" s="124"/>
    </row>
    <row r="86" spans="2:16">
      <c r="B86" s="146"/>
      <c r="C86" s="208" t="s">
        <v>189</v>
      </c>
      <c r="D86" s="208" t="s">
        <v>183</v>
      </c>
      <c r="E86" s="208" t="b">
        <v>1</v>
      </c>
      <c r="F86" s="208" t="s">
        <v>176</v>
      </c>
      <c r="G86" s="208" t="s">
        <v>177</v>
      </c>
      <c r="H86" s="43" t="str">
        <f t="shared" si="4"/>
        <v>Poultry|TRUE|700to900|FreeDrain</v>
      </c>
      <c r="I86" s="143">
        <v>7.0000000000000007E-2</v>
      </c>
      <c r="J86" s="143">
        <v>68.61</v>
      </c>
      <c r="K86" s="34" t="str">
        <f t="shared" si="5"/>
        <v>Poultry|700to900</v>
      </c>
      <c r="L86" s="143">
        <f t="shared" si="6"/>
        <v>7.0000000000000007E-2</v>
      </c>
      <c r="M86" s="35">
        <f t="shared" si="7"/>
        <v>68.61</v>
      </c>
      <c r="N86" s="28"/>
      <c r="O86" s="28"/>
      <c r="P86" s="124"/>
    </row>
    <row r="87" spans="2:16">
      <c r="B87" s="146"/>
      <c r="C87" s="208" t="s">
        <v>189</v>
      </c>
      <c r="D87" s="208" t="s">
        <v>184</v>
      </c>
      <c r="E87" s="208" t="b">
        <v>1</v>
      </c>
      <c r="F87" s="208" t="s">
        <v>176</v>
      </c>
      <c r="G87" s="208" t="s">
        <v>177</v>
      </c>
      <c r="H87" s="43" t="str">
        <f t="shared" si="4"/>
        <v>Dairy|TRUE|700to900|FreeDrain</v>
      </c>
      <c r="I87" s="143">
        <v>0.08</v>
      </c>
      <c r="J87" s="143">
        <v>41.23</v>
      </c>
      <c r="K87" s="34" t="str">
        <f t="shared" si="5"/>
        <v>Dairy|700to900</v>
      </c>
      <c r="L87" s="143">
        <f t="shared" si="6"/>
        <v>0.08</v>
      </c>
      <c r="M87" s="35">
        <f t="shared" si="7"/>
        <v>41.23</v>
      </c>
      <c r="N87" s="28"/>
      <c r="O87" s="28"/>
      <c r="P87" s="124"/>
    </row>
    <row r="88" spans="2:16">
      <c r="B88" s="146"/>
      <c r="C88" s="208" t="s">
        <v>189</v>
      </c>
      <c r="D88" s="208" t="s">
        <v>185</v>
      </c>
      <c r="E88" s="208" t="b">
        <v>1</v>
      </c>
      <c r="F88" s="208" t="s">
        <v>176</v>
      </c>
      <c r="G88" s="208" t="s">
        <v>177</v>
      </c>
      <c r="H88" s="43" t="str">
        <f t="shared" si="4"/>
        <v>Lowland|TRUE|700to900|FreeDrain</v>
      </c>
      <c r="I88" s="143">
        <v>0.05</v>
      </c>
      <c r="J88" s="143">
        <v>11.74</v>
      </c>
      <c r="K88" s="34" t="str">
        <f t="shared" si="5"/>
        <v>Lowland|700to900</v>
      </c>
      <c r="L88" s="143">
        <f t="shared" si="6"/>
        <v>0.05</v>
      </c>
      <c r="M88" s="35">
        <f t="shared" si="7"/>
        <v>11.74</v>
      </c>
      <c r="N88" s="28"/>
      <c r="O88" s="28"/>
      <c r="P88" s="124"/>
    </row>
    <row r="89" spans="2:16">
      <c r="B89" s="146"/>
      <c r="C89" s="208" t="s">
        <v>189</v>
      </c>
      <c r="D89" s="208" t="s">
        <v>185</v>
      </c>
      <c r="E89" s="208" t="b">
        <v>1</v>
      </c>
      <c r="F89" s="208" t="s">
        <v>176</v>
      </c>
      <c r="G89" s="208" t="s">
        <v>178</v>
      </c>
      <c r="H89" s="43" t="str">
        <f t="shared" si="4"/>
        <v>Lowland|TRUE|700to900|DrainedAr</v>
      </c>
      <c r="I89" s="143">
        <v>0.15</v>
      </c>
      <c r="J89" s="143">
        <v>9.09</v>
      </c>
      <c r="K89" s="34" t="str">
        <f t="shared" si="5"/>
        <v>Lowland|700to900</v>
      </c>
      <c r="L89" s="143">
        <f t="shared" si="6"/>
        <v>0.15</v>
      </c>
      <c r="M89" s="35">
        <f t="shared" si="7"/>
        <v>9.09</v>
      </c>
      <c r="N89" s="28"/>
      <c r="O89" s="28"/>
      <c r="P89" s="124"/>
    </row>
    <row r="90" spans="2:16">
      <c r="B90" s="146"/>
      <c r="C90" s="208" t="s">
        <v>189</v>
      </c>
      <c r="D90" s="208" t="s">
        <v>185</v>
      </c>
      <c r="E90" s="208" t="b">
        <v>1</v>
      </c>
      <c r="F90" s="208" t="s">
        <v>180</v>
      </c>
      <c r="G90" s="208" t="s">
        <v>177</v>
      </c>
      <c r="H90" s="43" t="str">
        <f t="shared" si="4"/>
        <v>Lowland|TRUE|900to1200|FreeDrain</v>
      </c>
      <c r="I90" s="143">
        <v>0.09</v>
      </c>
      <c r="J90" s="143">
        <v>12.65</v>
      </c>
      <c r="K90" s="34" t="str">
        <f t="shared" si="5"/>
        <v>Lowland|900to1200</v>
      </c>
      <c r="L90" s="143">
        <f t="shared" si="6"/>
        <v>0.09</v>
      </c>
      <c r="M90" s="35">
        <f t="shared" si="7"/>
        <v>12.65</v>
      </c>
      <c r="N90" s="28"/>
      <c r="O90" s="28"/>
      <c r="P90" s="124"/>
    </row>
    <row r="91" spans="2:16">
      <c r="B91" s="146"/>
      <c r="C91" s="208" t="s">
        <v>189</v>
      </c>
      <c r="D91" s="208" t="s">
        <v>186</v>
      </c>
      <c r="E91" s="208" t="b">
        <v>1</v>
      </c>
      <c r="F91" s="208" t="s">
        <v>176</v>
      </c>
      <c r="G91" s="208" t="s">
        <v>177</v>
      </c>
      <c r="H91" s="43" t="str">
        <f t="shared" si="4"/>
        <v>Mixed|TRUE|700to900|FreeDrain</v>
      </c>
      <c r="I91" s="143">
        <v>0.08</v>
      </c>
      <c r="J91" s="143">
        <v>24.27</v>
      </c>
      <c r="K91" s="34" t="str">
        <f t="shared" si="5"/>
        <v>Mixed|700to900</v>
      </c>
      <c r="L91" s="143">
        <f t="shared" si="6"/>
        <v>0.08</v>
      </c>
      <c r="M91" s="35">
        <f t="shared" si="7"/>
        <v>24.27</v>
      </c>
      <c r="N91" s="28"/>
      <c r="O91" s="28"/>
      <c r="P91" s="124"/>
    </row>
    <row r="92" spans="2:16">
      <c r="B92" s="146"/>
      <c r="C92" s="208" t="s">
        <v>189</v>
      </c>
      <c r="D92" s="208" t="s">
        <v>186</v>
      </c>
      <c r="E92" s="208" t="b">
        <v>1</v>
      </c>
      <c r="F92" s="208" t="s">
        <v>180</v>
      </c>
      <c r="G92" s="208" t="s">
        <v>177</v>
      </c>
      <c r="H92" s="43" t="str">
        <f t="shared" si="4"/>
        <v>Mixed|TRUE|900to1200|FreeDrain</v>
      </c>
      <c r="I92" s="143">
        <v>0.13</v>
      </c>
      <c r="J92" s="143">
        <v>25.84</v>
      </c>
      <c r="K92" s="34" t="str">
        <f t="shared" si="5"/>
        <v>Mixed|900to1200</v>
      </c>
      <c r="L92" s="143">
        <f t="shared" si="6"/>
        <v>0.13</v>
      </c>
      <c r="M92" s="35">
        <f t="shared" si="7"/>
        <v>25.84</v>
      </c>
      <c r="N92" s="28"/>
      <c r="O92" s="28"/>
      <c r="P92" s="124"/>
    </row>
    <row r="93" spans="2:16">
      <c r="B93" s="146"/>
      <c r="C93" s="208" t="s">
        <v>191</v>
      </c>
      <c r="D93" s="208" t="s">
        <v>191</v>
      </c>
      <c r="E93" s="208" t="s">
        <v>191</v>
      </c>
      <c r="F93" s="208" t="s">
        <v>191</v>
      </c>
      <c r="G93" s="220" t="s">
        <v>192</v>
      </c>
      <c r="H93" s="43" t="str">
        <f>"|"&amp;"|"&amp;"|"&amp;G93</f>
        <v>|||Greenspace</v>
      </c>
      <c r="I93" s="221">
        <v>0.02</v>
      </c>
      <c r="J93" s="35">
        <v>3</v>
      </c>
      <c r="K93" s="27"/>
      <c r="L93" s="206"/>
      <c r="M93" s="206"/>
      <c r="N93" s="206"/>
      <c r="O93" s="206"/>
      <c r="P93" s="124"/>
    </row>
    <row r="94" spans="2:16">
      <c r="B94" s="146"/>
      <c r="C94" s="208" t="s">
        <v>191</v>
      </c>
      <c r="D94" s="208" t="s">
        <v>191</v>
      </c>
      <c r="E94" s="208" t="s">
        <v>191</v>
      </c>
      <c r="F94" s="208" t="s">
        <v>191</v>
      </c>
      <c r="G94" s="220" t="s">
        <v>193</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c r="B95" s="146"/>
      <c r="C95" s="208" t="s">
        <v>191</v>
      </c>
      <c r="D95" s="208" t="s">
        <v>191</v>
      </c>
      <c r="E95" s="208" t="s">
        <v>191</v>
      </c>
      <c r="F95" s="208" t="s">
        <v>191</v>
      </c>
      <c r="G95" s="220" t="s">
        <v>194</v>
      </c>
      <c r="H95" s="43" t="str">
        <f>"|"&amp;"|"&amp;"|"&amp;G95</f>
        <v>|||Woodland</v>
      </c>
      <c r="I95" s="221">
        <v>0.02</v>
      </c>
      <c r="J95" s="35">
        <v>3</v>
      </c>
      <c r="K95" s="27"/>
      <c r="L95" s="206"/>
      <c r="M95" s="206"/>
      <c r="N95" s="206"/>
      <c r="O95" s="206"/>
      <c r="P95" s="124"/>
    </row>
    <row r="96" spans="2:16">
      <c r="B96" s="146"/>
      <c r="C96" s="208" t="s">
        <v>191</v>
      </c>
      <c r="D96" s="208" t="s">
        <v>191</v>
      </c>
      <c r="E96" s="208" t="s">
        <v>191</v>
      </c>
      <c r="F96" s="208" t="s">
        <v>191</v>
      </c>
      <c r="G96" s="220" t="s">
        <v>195</v>
      </c>
      <c r="H96" s="43" t="str">
        <f>"|"&amp;"|"&amp;"|"&amp;G96</f>
        <v>|||Shrub</v>
      </c>
      <c r="I96" s="221">
        <v>0.02</v>
      </c>
      <c r="J96" s="35">
        <v>3</v>
      </c>
      <c r="K96" s="27"/>
      <c r="L96" s="206"/>
      <c r="M96" s="206"/>
      <c r="N96" s="206"/>
      <c r="O96" s="206"/>
      <c r="P96" s="124"/>
    </row>
    <row r="97" spans="2:16">
      <c r="B97" s="146"/>
      <c r="C97" s="208" t="s">
        <v>191</v>
      </c>
      <c r="D97" s="208" t="s">
        <v>191</v>
      </c>
      <c r="E97" s="208" t="s">
        <v>191</v>
      </c>
      <c r="F97" s="208" t="s">
        <v>191</v>
      </c>
      <c r="G97" s="220" t="s">
        <v>196</v>
      </c>
      <c r="H97" s="43" t="str">
        <f>"|"&amp;"|"&amp;"|"&amp;G97</f>
        <v>|||Water</v>
      </c>
      <c r="I97" s="221">
        <v>0</v>
      </c>
      <c r="J97" s="35">
        <v>0</v>
      </c>
      <c r="K97" s="27"/>
      <c r="L97" s="206"/>
      <c r="M97" s="206"/>
      <c r="N97" s="206"/>
      <c r="O97" s="206"/>
      <c r="P97" s="124"/>
    </row>
    <row r="98" spans="2:16">
      <c r="B98" s="146"/>
      <c r="C98" s="208" t="s">
        <v>191</v>
      </c>
      <c r="D98" s="208" t="s">
        <v>191</v>
      </c>
      <c r="E98" s="208" t="s">
        <v>191</v>
      </c>
      <c r="F98" s="208" t="s">
        <v>191</v>
      </c>
      <c r="G98" s="43" t="s">
        <v>128</v>
      </c>
      <c r="H98" s="43" t="str">
        <f t="shared" ref="H98:H100" si="8">"|"&amp;"|"&amp;"|"&amp;G98</f>
        <v>|||Residential urban land</v>
      </c>
      <c r="I98" s="143">
        <f>VLOOKUP('Stage 2'!E11,Lookups!C104:H126,6,FALSE)</f>
        <v>1.6513689268999994</v>
      </c>
      <c r="J98" s="35">
        <f>VLOOKUP('Stage 2'!E11,Lookups!C104:K126,9,FALSE)</f>
        <v>15.377636671499994</v>
      </c>
      <c r="K98" s="27"/>
      <c r="L98" s="206"/>
      <c r="M98" s="206"/>
      <c r="N98" s="206"/>
      <c r="O98" s="206"/>
      <c r="P98" s="124"/>
    </row>
    <row r="99" spans="2:16">
      <c r="B99" s="146"/>
      <c r="C99" s="208" t="s">
        <v>191</v>
      </c>
      <c r="D99" s="208" t="s">
        <v>191</v>
      </c>
      <c r="E99" s="208" t="s">
        <v>191</v>
      </c>
      <c r="F99" s="208" t="s">
        <v>191</v>
      </c>
      <c r="G99" s="43" t="s">
        <v>123</v>
      </c>
      <c r="H99" s="43" t="str">
        <f t="shared" si="8"/>
        <v>|||Commercial/industrial urban land</v>
      </c>
      <c r="I99" s="143">
        <f>VLOOKUP('Stage 2'!E11,Lookups!C104:I126,7,FALSE)</f>
        <v>1.2083187269999995</v>
      </c>
      <c r="J99" s="35">
        <f>VLOOKUP('Stage 2'!E11,Lookups!C104:M126,10,FALSE)</f>
        <v>8.2014062247999959</v>
      </c>
      <c r="K99" s="27"/>
      <c r="L99" s="206"/>
      <c r="M99" s="206"/>
      <c r="N99" s="206"/>
      <c r="O99" s="206"/>
      <c r="P99" s="124"/>
    </row>
    <row r="100" spans="2:16">
      <c r="B100" s="146"/>
      <c r="C100" s="208" t="s">
        <v>191</v>
      </c>
      <c r="D100" s="208" t="s">
        <v>191</v>
      </c>
      <c r="E100" s="208" t="s">
        <v>191</v>
      </c>
      <c r="F100" s="208" t="s">
        <v>191</v>
      </c>
      <c r="G100" s="43" t="s">
        <v>197</v>
      </c>
      <c r="H100" s="43" t="str">
        <f t="shared" si="8"/>
        <v>|||Open urban land</v>
      </c>
      <c r="I100" s="143">
        <f>VLOOKUP('Stage 2'!E11,Lookups!C104:J126,8,FALSE)</f>
        <v>0.88610039979999966</v>
      </c>
      <c r="J100" s="35">
        <f>VLOOKUP('Stage 2'!E11,Lookups!C104:P126,11,FALSE)</f>
        <v>9.064712143199996</v>
      </c>
      <c r="K100" s="27"/>
      <c r="L100" s="206"/>
      <c r="M100" s="206"/>
      <c r="N100" s="206"/>
      <c r="O100" s="206"/>
      <c r="P100" s="124"/>
    </row>
    <row r="101" spans="2:16">
      <c r="B101" s="146"/>
      <c r="C101" s="27"/>
      <c r="D101" s="27"/>
      <c r="E101" s="27"/>
      <c r="F101" s="27"/>
      <c r="G101" s="27"/>
      <c r="H101" s="27"/>
      <c r="I101" s="28"/>
      <c r="J101" s="28"/>
      <c r="K101" s="27"/>
      <c r="L101" s="206"/>
      <c r="M101" s="206"/>
      <c r="N101" s="206"/>
      <c r="O101" s="206"/>
      <c r="P101" s="124"/>
    </row>
    <row r="102" spans="2:16">
      <c r="B102" s="146"/>
      <c r="C102" s="27" t="s">
        <v>198</v>
      </c>
      <c r="D102" s="27"/>
      <c r="E102" s="27"/>
      <c r="F102" s="27"/>
      <c r="G102" s="27"/>
      <c r="H102" s="27"/>
      <c r="I102" s="28"/>
      <c r="J102" s="28"/>
      <c r="K102" s="27"/>
      <c r="L102" s="206"/>
      <c r="M102" s="206"/>
      <c r="N102" s="206"/>
      <c r="O102" s="206"/>
      <c r="P102" s="124"/>
    </row>
    <row r="103" spans="2:16" ht="30.75" thickBot="1">
      <c r="B103" s="146"/>
      <c r="C103" s="33" t="s">
        <v>199</v>
      </c>
      <c r="D103" s="46" t="s">
        <v>200</v>
      </c>
      <c r="E103" s="46" t="s">
        <v>201</v>
      </c>
      <c r="F103" s="46" t="s">
        <v>202</v>
      </c>
      <c r="G103" s="46" t="s">
        <v>203</v>
      </c>
      <c r="H103" s="46" t="s">
        <v>204</v>
      </c>
      <c r="I103" s="46" t="s">
        <v>205</v>
      </c>
      <c r="J103" s="46" t="s">
        <v>206</v>
      </c>
      <c r="K103" s="46" t="s">
        <v>207</v>
      </c>
      <c r="L103" s="33" t="s">
        <v>208</v>
      </c>
      <c r="M103" s="145" t="s">
        <v>209</v>
      </c>
      <c r="N103" s="15"/>
      <c r="O103" s="15"/>
      <c r="P103" s="124"/>
    </row>
    <row r="104" spans="2:16" ht="15.75" thickTop="1">
      <c r="B104" s="146"/>
      <c r="C104" s="47" t="s">
        <v>210</v>
      </c>
      <c r="D104" s="209">
        <v>516.5</v>
      </c>
      <c r="E104" s="50" t="s">
        <v>211</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c r="B105" s="146"/>
      <c r="C105" s="47" t="s">
        <v>212</v>
      </c>
      <c r="D105" s="209">
        <v>537.54999999999995</v>
      </c>
      <c r="E105" s="50" t="s">
        <v>211</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c r="B106" s="146"/>
      <c r="C106" s="47" t="s">
        <v>213</v>
      </c>
      <c r="D106" s="209">
        <v>562.54999999999995</v>
      </c>
      <c r="E106" s="50" t="s">
        <v>211</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c r="B107" s="146"/>
      <c r="C107" s="47" t="s">
        <v>214</v>
      </c>
      <c r="D107" s="209">
        <v>587.54999999999995</v>
      </c>
      <c r="E107" s="50" t="s">
        <v>211</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c r="B108" s="146"/>
      <c r="C108" s="47" t="s">
        <v>215</v>
      </c>
      <c r="D108" s="209">
        <v>612.54999999999995</v>
      </c>
      <c r="E108" s="50" t="s">
        <v>216</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c r="B109" s="146"/>
      <c r="C109" s="47" t="s">
        <v>217</v>
      </c>
      <c r="D109" s="209">
        <v>637.54999999999995</v>
      </c>
      <c r="E109" s="50" t="s">
        <v>216</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c r="B110" s="146"/>
      <c r="C110" s="47" t="s">
        <v>218</v>
      </c>
      <c r="D110" s="209">
        <v>662.55</v>
      </c>
      <c r="E110" s="50" t="s">
        <v>216</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c r="B111" s="146"/>
      <c r="C111" s="47" t="s">
        <v>219</v>
      </c>
      <c r="D111" s="209">
        <v>687.55</v>
      </c>
      <c r="E111" s="50" t="s">
        <v>216</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c r="B112" s="146"/>
      <c r="C112" s="47" t="s">
        <v>220</v>
      </c>
      <c r="D112" s="209">
        <v>725.05</v>
      </c>
      <c r="E112" s="50" t="s">
        <v>176</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c r="B113" s="146"/>
      <c r="C113" s="47" t="s">
        <v>221</v>
      </c>
      <c r="D113" s="209">
        <v>775.05</v>
      </c>
      <c r="E113" s="50" t="s">
        <v>176</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c r="B114" s="146"/>
      <c r="C114" s="47" t="s">
        <v>117</v>
      </c>
      <c r="D114" s="209">
        <v>825.05</v>
      </c>
      <c r="E114" s="50" t="s">
        <v>176</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c r="B115" s="146"/>
      <c r="C115" s="47" t="s">
        <v>222</v>
      </c>
      <c r="D115" s="209">
        <v>875.05</v>
      </c>
      <c r="E115" s="50" t="s">
        <v>176</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c r="B116" s="146"/>
      <c r="C116" s="47" t="s">
        <v>223</v>
      </c>
      <c r="D116" s="209">
        <v>925.05</v>
      </c>
      <c r="E116" s="50" t="s">
        <v>180</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c r="B117" s="146"/>
      <c r="C117" s="47" t="s">
        <v>224</v>
      </c>
      <c r="D117" s="209">
        <v>975.05</v>
      </c>
      <c r="E117" s="50" t="s">
        <v>180</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c r="B118" s="146"/>
      <c r="C118" s="47" t="s">
        <v>225</v>
      </c>
      <c r="D118" s="209">
        <v>1050.05</v>
      </c>
      <c r="E118" s="50" t="s">
        <v>180</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c r="B119" s="146"/>
      <c r="C119" s="47" t="s">
        <v>226</v>
      </c>
      <c r="D119" s="209">
        <v>1150.05</v>
      </c>
      <c r="E119" s="50" t="s">
        <v>180</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c r="B120" s="146"/>
      <c r="C120" s="47" t="s">
        <v>227</v>
      </c>
      <c r="D120" s="209">
        <v>1300.05</v>
      </c>
      <c r="E120" s="50" t="s">
        <v>228</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c r="B121" s="146"/>
      <c r="C121" s="47" t="s">
        <v>229</v>
      </c>
      <c r="D121" s="209">
        <v>1500.05</v>
      </c>
      <c r="E121" s="50" t="s">
        <v>228</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c r="B122" s="146"/>
      <c r="C122" s="47" t="s">
        <v>230</v>
      </c>
      <c r="D122" s="209">
        <v>1800.05</v>
      </c>
      <c r="E122" s="50" t="s">
        <v>231</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c r="B123" s="146"/>
      <c r="C123" s="47" t="s">
        <v>232</v>
      </c>
      <c r="D123" s="209">
        <v>2200.0500000000002</v>
      </c>
      <c r="E123" s="50" t="s">
        <v>231</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c r="B124" s="146"/>
      <c r="C124" s="47" t="s">
        <v>233</v>
      </c>
      <c r="D124" s="209">
        <v>2700.05</v>
      </c>
      <c r="E124" s="50" t="s">
        <v>231</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c r="B125" s="146"/>
      <c r="C125" s="47" t="s">
        <v>234</v>
      </c>
      <c r="D125" s="209">
        <v>3500.05</v>
      </c>
      <c r="E125" s="50" t="s">
        <v>231</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c r="B126" s="146"/>
      <c r="C126" s="47" t="s">
        <v>235</v>
      </c>
      <c r="D126" s="209">
        <v>4750.05</v>
      </c>
      <c r="E126" s="50" t="s">
        <v>231</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c r="B127" s="146"/>
      <c r="C127" s="27"/>
      <c r="D127" s="27"/>
      <c r="E127" s="27"/>
      <c r="F127" s="27"/>
      <c r="G127" s="27"/>
      <c r="H127" s="27"/>
      <c r="I127" s="28"/>
      <c r="J127" s="28"/>
      <c r="K127" s="27"/>
      <c r="L127" s="206"/>
      <c r="M127" s="206"/>
      <c r="N127" s="206"/>
      <c r="O127" s="206"/>
      <c r="P127" s="124"/>
    </row>
    <row r="128" spans="2:16">
      <c r="B128" s="146"/>
      <c r="C128" s="27" t="s">
        <v>236</v>
      </c>
      <c r="D128" s="27"/>
      <c r="E128" s="27"/>
      <c r="F128" s="27"/>
      <c r="G128" s="27" t="s">
        <v>237</v>
      </c>
      <c r="H128" s="27"/>
      <c r="I128" s="27" t="s">
        <v>238</v>
      </c>
      <c r="J128" s="28"/>
      <c r="K128" s="27"/>
      <c r="L128" s="206"/>
      <c r="M128" s="206"/>
      <c r="N128" s="206"/>
      <c r="O128" s="206"/>
      <c r="P128" s="124"/>
    </row>
    <row r="129" spans="2:16" ht="15.75" thickBot="1">
      <c r="B129" s="146"/>
      <c r="C129" s="33" t="s">
        <v>239</v>
      </c>
      <c r="D129" s="39" t="s">
        <v>240</v>
      </c>
      <c r="E129" s="27"/>
      <c r="F129" s="27"/>
      <c r="G129" s="36" t="s">
        <v>241</v>
      </c>
      <c r="H129" s="27"/>
      <c r="I129" s="36" t="s">
        <v>242</v>
      </c>
      <c r="J129" s="28"/>
      <c r="K129" s="27"/>
      <c r="L129" s="206"/>
      <c r="M129" s="206"/>
      <c r="N129" s="206"/>
      <c r="O129" s="206"/>
      <c r="P129" s="124"/>
    </row>
    <row r="130" spans="2:16" ht="15.75" thickTop="1">
      <c r="B130" s="146"/>
      <c r="C130" s="34" t="s">
        <v>113</v>
      </c>
      <c r="D130" s="40" t="s">
        <v>113</v>
      </c>
      <c r="E130" s="27"/>
      <c r="F130" s="27"/>
      <c r="G130" s="214" t="s">
        <v>175</v>
      </c>
      <c r="H130" s="27"/>
      <c r="I130" s="214" t="s">
        <v>175</v>
      </c>
      <c r="J130" s="28"/>
      <c r="K130" s="27"/>
      <c r="L130" s="206"/>
      <c r="M130" s="206"/>
      <c r="N130" s="206"/>
      <c r="O130" s="206"/>
      <c r="P130" s="124"/>
    </row>
    <row r="131" spans="2:16">
      <c r="B131" s="146"/>
      <c r="C131" s="27"/>
      <c r="D131" s="27"/>
      <c r="E131" s="27"/>
      <c r="F131" s="27"/>
      <c r="G131" s="37" t="s">
        <v>181</v>
      </c>
      <c r="H131" s="27"/>
      <c r="I131" s="37" t="s">
        <v>181</v>
      </c>
      <c r="J131" s="28"/>
      <c r="K131" s="27"/>
      <c r="L131" s="206"/>
      <c r="M131" s="206"/>
      <c r="N131" s="206"/>
      <c r="O131" s="206"/>
      <c r="P131" s="124"/>
    </row>
    <row r="132" spans="2:16">
      <c r="B132" s="146"/>
      <c r="C132" s="27"/>
      <c r="D132" s="27"/>
      <c r="E132" s="27"/>
      <c r="F132" s="27"/>
      <c r="G132" s="37" t="s">
        <v>182</v>
      </c>
      <c r="H132" s="27"/>
      <c r="I132" s="37" t="s">
        <v>182</v>
      </c>
      <c r="J132" s="206"/>
      <c r="K132" s="206"/>
      <c r="L132" s="206"/>
      <c r="M132" s="206"/>
      <c r="N132" s="206"/>
      <c r="O132" s="206"/>
      <c r="P132" s="124"/>
    </row>
    <row r="133" spans="2:16">
      <c r="B133" s="146"/>
      <c r="C133" s="27" t="s">
        <v>243</v>
      </c>
      <c r="D133" s="27"/>
      <c r="E133" s="27"/>
      <c r="F133" s="27"/>
      <c r="G133" s="37" t="s">
        <v>188</v>
      </c>
      <c r="H133" s="29"/>
      <c r="I133" s="37" t="s">
        <v>188</v>
      </c>
      <c r="J133" s="206"/>
      <c r="K133" s="206"/>
      <c r="L133" s="206"/>
      <c r="M133" s="206"/>
      <c r="N133" s="206"/>
      <c r="O133" s="206"/>
      <c r="P133" s="124"/>
    </row>
    <row r="134" spans="2:16" ht="15.75" thickBot="1">
      <c r="B134" s="146"/>
      <c r="C134" s="32" t="s">
        <v>244</v>
      </c>
      <c r="D134" s="31" t="s">
        <v>245</v>
      </c>
      <c r="E134" s="41" t="s">
        <v>246</v>
      </c>
      <c r="F134" s="27"/>
      <c r="G134" s="37" t="s">
        <v>183</v>
      </c>
      <c r="H134" s="27"/>
      <c r="I134" s="37" t="s">
        <v>183</v>
      </c>
      <c r="J134" s="206"/>
      <c r="K134" s="206"/>
      <c r="L134" s="206"/>
      <c r="M134" s="206"/>
      <c r="N134" s="206"/>
      <c r="O134" s="206"/>
      <c r="P134" s="124"/>
    </row>
    <row r="135" spans="2:16" ht="15.75" thickTop="1">
      <c r="B135" s="146"/>
      <c r="C135" s="42" t="s">
        <v>115</v>
      </c>
      <c r="D135" s="43" t="s">
        <v>177</v>
      </c>
      <c r="E135" s="40" t="s">
        <v>247</v>
      </c>
      <c r="F135" s="27"/>
      <c r="G135" s="37" t="s">
        <v>184</v>
      </c>
      <c r="H135" s="27"/>
      <c r="I135" s="37" t="s">
        <v>184</v>
      </c>
      <c r="J135" s="206"/>
      <c r="K135" s="206"/>
      <c r="L135" s="206"/>
      <c r="M135" s="206"/>
      <c r="N135" s="206"/>
      <c r="O135" s="206"/>
      <c r="P135" s="124"/>
    </row>
    <row r="136" spans="2:16">
      <c r="B136" s="146"/>
      <c r="C136" s="42" t="s">
        <v>248</v>
      </c>
      <c r="D136" s="43" t="s">
        <v>178</v>
      </c>
      <c r="E136" s="40" t="s">
        <v>249</v>
      </c>
      <c r="F136" s="27"/>
      <c r="G136" s="37" t="s">
        <v>250</v>
      </c>
      <c r="H136" s="27"/>
      <c r="I136" s="37" t="s">
        <v>185</v>
      </c>
      <c r="J136" s="206"/>
      <c r="K136" s="206"/>
      <c r="L136" s="206"/>
      <c r="M136" s="206"/>
      <c r="N136" s="206"/>
      <c r="O136" s="206"/>
      <c r="P136" s="124"/>
    </row>
    <row r="137" spans="2:16">
      <c r="B137" s="146"/>
      <c r="C137" s="42" t="s">
        <v>251</v>
      </c>
      <c r="D137" s="43" t="s">
        <v>179</v>
      </c>
      <c r="E137" s="40" t="s">
        <v>252</v>
      </c>
      <c r="F137" s="27"/>
      <c r="G137" s="37" t="s">
        <v>185</v>
      </c>
      <c r="H137" s="27"/>
      <c r="I137" s="37" t="s">
        <v>186</v>
      </c>
      <c r="J137" s="206"/>
      <c r="K137" s="206"/>
      <c r="L137" s="206"/>
      <c r="M137" s="206"/>
      <c r="N137" s="206"/>
      <c r="O137" s="206"/>
      <c r="P137" s="124"/>
    </row>
    <row r="138" spans="2:16">
      <c r="B138" s="146"/>
      <c r="C138" s="34" t="s">
        <v>253</v>
      </c>
      <c r="D138" s="43" t="s">
        <v>178</v>
      </c>
      <c r="E138" s="40" t="s">
        <v>249</v>
      </c>
      <c r="F138" s="27"/>
      <c r="G138" s="37" t="s">
        <v>186</v>
      </c>
      <c r="H138" s="27"/>
      <c r="I138" s="38" t="s">
        <v>192</v>
      </c>
      <c r="J138" s="206"/>
      <c r="K138" s="206"/>
      <c r="L138" s="206"/>
      <c r="M138" s="206"/>
      <c r="N138" s="206"/>
      <c r="O138" s="206"/>
      <c r="P138" s="124"/>
    </row>
    <row r="139" spans="2:16">
      <c r="B139" s="146"/>
      <c r="C139" s="34" t="s">
        <v>254</v>
      </c>
      <c r="D139" s="43" t="s">
        <v>178</v>
      </c>
      <c r="E139" s="40" t="s">
        <v>249</v>
      </c>
      <c r="F139" s="27"/>
      <c r="G139" s="38" t="s">
        <v>192</v>
      </c>
      <c r="H139" s="27"/>
      <c r="I139" s="38" t="s">
        <v>194</v>
      </c>
      <c r="J139" s="206"/>
      <c r="K139" s="206"/>
      <c r="L139" s="206"/>
      <c r="M139" s="206"/>
      <c r="N139" s="206"/>
      <c r="O139" s="206"/>
      <c r="P139" s="124"/>
    </row>
    <row r="140" spans="2:16">
      <c r="B140" s="146"/>
      <c r="C140" s="42" t="s">
        <v>255</v>
      </c>
      <c r="D140" s="43" t="s">
        <v>178</v>
      </c>
      <c r="E140" s="37" t="s">
        <v>249</v>
      </c>
      <c r="F140" s="27"/>
      <c r="G140" s="38" t="s">
        <v>194</v>
      </c>
      <c r="H140" s="27"/>
      <c r="I140" s="38" t="s">
        <v>195</v>
      </c>
      <c r="J140" s="206"/>
      <c r="K140" s="206"/>
      <c r="L140" s="206"/>
      <c r="M140" s="206"/>
      <c r="N140" s="206"/>
      <c r="O140" s="206"/>
      <c r="P140" s="124"/>
    </row>
    <row r="141" spans="2:16">
      <c r="B141" s="146"/>
      <c r="C141" s="27"/>
      <c r="D141" s="28"/>
      <c r="E141" s="27"/>
      <c r="F141" s="27"/>
      <c r="G141" s="38" t="s">
        <v>195</v>
      </c>
      <c r="H141" s="27"/>
      <c r="I141" s="38" t="s">
        <v>196</v>
      </c>
      <c r="J141" s="206"/>
      <c r="K141" s="206"/>
      <c r="L141" s="206"/>
      <c r="M141" s="206"/>
      <c r="N141" s="206"/>
      <c r="O141" s="206"/>
      <c r="P141" s="124"/>
    </row>
    <row r="142" spans="2:16">
      <c r="B142" s="146"/>
      <c r="C142" s="27" t="s">
        <v>256</v>
      </c>
      <c r="D142" s="28"/>
      <c r="E142" s="27"/>
      <c r="F142" s="27"/>
      <c r="G142" s="38" t="s">
        <v>196</v>
      </c>
      <c r="H142" s="27"/>
      <c r="I142" s="37" t="s">
        <v>128</v>
      </c>
      <c r="J142" s="206"/>
      <c r="K142" s="206"/>
      <c r="L142" s="206"/>
      <c r="M142" s="206"/>
      <c r="N142" s="206"/>
      <c r="O142" s="206"/>
      <c r="P142" s="124"/>
    </row>
    <row r="143" spans="2:16" ht="15.75" thickBot="1">
      <c r="B143" s="146"/>
      <c r="C143" s="213" t="s">
        <v>164</v>
      </c>
      <c r="D143" s="36" t="s">
        <v>240</v>
      </c>
      <c r="E143" s="27"/>
      <c r="F143" s="27"/>
      <c r="G143" s="37" t="s">
        <v>128</v>
      </c>
      <c r="H143" s="27"/>
      <c r="I143" s="37" t="s">
        <v>123</v>
      </c>
      <c r="J143" s="206"/>
      <c r="K143" s="206"/>
      <c r="L143" s="206"/>
      <c r="M143" s="206"/>
      <c r="N143" s="206"/>
      <c r="O143" s="206"/>
      <c r="P143" s="124"/>
    </row>
    <row r="144" spans="2:16" ht="15.75" thickTop="1">
      <c r="B144" s="146"/>
      <c r="C144" s="34" t="s">
        <v>86</v>
      </c>
      <c r="D144" s="35" t="b">
        <v>1</v>
      </c>
      <c r="E144" s="27"/>
      <c r="F144" s="27"/>
      <c r="G144" s="37" t="s">
        <v>123</v>
      </c>
      <c r="H144" s="27"/>
      <c r="I144" s="37" t="s">
        <v>197</v>
      </c>
      <c r="J144" s="206"/>
      <c r="K144" s="206"/>
      <c r="L144" s="206"/>
      <c r="M144" s="206"/>
      <c r="N144" s="206"/>
      <c r="O144" s="206"/>
      <c r="P144" s="124"/>
    </row>
    <row r="145" spans="2:16">
      <c r="B145" s="146"/>
      <c r="C145" s="34" t="s">
        <v>257</v>
      </c>
      <c r="D145" s="35" t="b">
        <v>0</v>
      </c>
      <c r="E145" s="27"/>
      <c r="F145" s="27"/>
      <c r="G145" s="37" t="s">
        <v>197</v>
      </c>
      <c r="H145" s="27"/>
      <c r="I145" s="37" t="s">
        <v>193</v>
      </c>
      <c r="J145" s="206"/>
      <c r="K145" s="206"/>
      <c r="L145" s="206"/>
      <c r="M145" s="206"/>
      <c r="N145" s="206"/>
      <c r="O145" s="206"/>
      <c r="P145" s="124"/>
    </row>
    <row r="146" spans="2:16">
      <c r="B146" s="146"/>
      <c r="C146" s="27"/>
      <c r="D146" s="28"/>
      <c r="E146" s="28"/>
      <c r="F146" s="27"/>
      <c r="G146" s="30" t="s">
        <v>193</v>
      </c>
      <c r="H146" s="27"/>
      <c r="I146" s="1"/>
      <c r="J146" s="1"/>
      <c r="K146" s="1"/>
      <c r="L146" s="1"/>
      <c r="M146" s="1"/>
      <c r="N146" s="1"/>
      <c r="O146" s="1"/>
      <c r="P146" s="124"/>
    </row>
    <row r="147" spans="2:16" ht="15.75" thickBot="1">
      <c r="B147" s="167"/>
      <c r="C147" s="194"/>
      <c r="D147" s="195"/>
      <c r="E147" s="195"/>
      <c r="F147" s="194"/>
      <c r="G147" s="149"/>
      <c r="H147" s="196"/>
      <c r="I147" s="149"/>
      <c r="J147" s="149"/>
      <c r="K147" s="149"/>
      <c r="L147" s="149"/>
      <c r="M147" s="149"/>
      <c r="N147" s="149"/>
      <c r="O147" s="149"/>
      <c r="P147" s="150"/>
    </row>
    <row r="148" spans="2:16" ht="15.75" thickTop="1">
      <c r="F148" s="37"/>
      <c r="H148" s="30"/>
    </row>
    <row r="149" spans="2:16">
      <c r="F149" s="37"/>
      <c r="G149" s="37"/>
      <c r="H149" s="37"/>
      <c r="I149" s="35"/>
      <c r="J149" s="35"/>
      <c r="K149" s="30"/>
    </row>
    <row r="150" spans="2:16">
      <c r="F150" s="37"/>
      <c r="G150" s="37"/>
      <c r="H150" s="37"/>
      <c r="I150" s="35"/>
      <c r="J150" s="35"/>
      <c r="K150" s="30"/>
    </row>
    <row r="151" spans="2:16">
      <c r="F151" s="37"/>
      <c r="G151" s="37"/>
      <c r="H151" s="37"/>
      <c r="I151" s="35"/>
      <c r="J151" s="35"/>
      <c r="K151" s="30"/>
    </row>
    <row r="152" spans="2:16">
      <c r="F152" s="37"/>
      <c r="G152" s="37"/>
      <c r="H152" s="37"/>
      <c r="I152" s="35"/>
      <c r="J152" s="35"/>
      <c r="K152" s="30"/>
    </row>
    <row r="153" spans="2:16">
      <c r="F153" s="37"/>
      <c r="G153" s="37"/>
      <c r="H153" s="37"/>
      <c r="I153" s="35"/>
      <c r="J153" s="35"/>
      <c r="K153" s="30"/>
    </row>
    <row r="154" spans="2:16">
      <c r="F154" s="37"/>
      <c r="G154" s="37"/>
      <c r="H154" s="37"/>
      <c r="I154" s="35"/>
      <c r="J154" s="35"/>
      <c r="K154" s="30"/>
    </row>
    <row r="155" spans="2:16">
      <c r="F155" s="37"/>
      <c r="G155" s="37"/>
      <c r="H155" s="37"/>
      <c r="I155" s="35"/>
      <c r="J155" s="35"/>
      <c r="K155" s="30"/>
    </row>
    <row r="156" spans="2:16">
      <c r="F156" s="37"/>
      <c r="G156" s="37"/>
      <c r="H156" s="37"/>
      <c r="I156" s="35"/>
      <c r="J156" s="35"/>
      <c r="K156" s="30"/>
    </row>
    <row r="157" spans="2:16">
      <c r="F157" s="37"/>
      <c r="G157" s="37"/>
      <c r="H157" s="37"/>
      <c r="I157" s="35"/>
      <c r="J157" s="35"/>
      <c r="K157" s="30"/>
    </row>
    <row r="158" spans="2:16">
      <c r="F158" s="37"/>
      <c r="G158" s="37"/>
      <c r="H158" s="37"/>
      <c r="I158" s="35"/>
      <c r="J158" s="35"/>
      <c r="K158" s="30"/>
    </row>
    <row r="159" spans="2:16">
      <c r="F159" s="37"/>
      <c r="G159" s="37"/>
      <c r="H159" s="37"/>
      <c r="I159" s="35"/>
      <c r="J159" s="35"/>
      <c r="K159" s="30"/>
    </row>
    <row r="160" spans="2:16">
      <c r="F160" s="37"/>
      <c r="G160" s="37"/>
      <c r="H160" s="37"/>
      <c r="I160" s="35"/>
      <c r="J160" s="35"/>
      <c r="K160" s="30"/>
    </row>
    <row r="161" spans="6:16">
      <c r="F161" s="37"/>
      <c r="G161" s="37"/>
      <c r="H161" s="37"/>
      <c r="I161" s="35"/>
      <c r="J161" s="35"/>
      <c r="K161" s="30"/>
    </row>
    <row r="162" spans="6:16">
      <c r="F162" s="37"/>
      <c r="G162" s="37"/>
      <c r="H162" s="37"/>
      <c r="I162" s="35"/>
      <c r="J162" s="35"/>
      <c r="K162" s="30"/>
    </row>
    <row r="163" spans="6:16">
      <c r="F163" s="37"/>
      <c r="G163" s="37"/>
      <c r="H163" s="37"/>
      <c r="I163" s="35"/>
      <c r="J163" s="35"/>
      <c r="K163" s="30"/>
    </row>
    <row r="164" spans="6:16">
      <c r="F164" s="37"/>
      <c r="G164" s="37"/>
      <c r="H164" s="37"/>
      <c r="I164" s="35"/>
      <c r="J164" s="35"/>
      <c r="K164" s="30"/>
    </row>
    <row r="165" spans="6:16">
      <c r="F165" s="37"/>
      <c r="G165" s="37"/>
      <c r="H165" s="37"/>
      <c r="I165" s="35"/>
      <c r="J165" s="35"/>
      <c r="K165" s="30"/>
      <c r="L165" s="30"/>
      <c r="M165" s="30"/>
      <c r="N165" s="30"/>
      <c r="O165" s="30"/>
      <c r="P165" s="30"/>
    </row>
  </sheetData>
  <sheetProtection algorithmName="SHA-512" hashValue="HGQmdOf09WuLUtKaZnSJK59KDa66cCQjvlKw639CQTIyFkrLzez2VLYZdLBwYjx//MJvJaZsqV2Obbdx5fDi0g==" saltValue="9mEZlVX5nMjT5iQqi6SOs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0CB90D337D364783932A11D35E027B" ma:contentTypeVersion="20" ma:contentTypeDescription="Create a new document." ma:contentTypeScope="" ma:versionID="60e978d2a44ec623a7464f05832d0279">
  <xsd:schema xmlns:xsd="http://www.w3.org/2001/XMLSchema" xmlns:xs="http://www.w3.org/2001/XMLSchema" xmlns:p="http://schemas.microsoft.com/office/2006/metadata/properties" xmlns:ns1="http://schemas.microsoft.com/sharepoint/v3" xmlns:ns2="20e50ee7-693d-4209-8f70-035a47af6dcb" xmlns:ns3="5e198573-e412-49c4-8d2f-69a8498f8b4f" targetNamespace="http://schemas.microsoft.com/office/2006/metadata/properties" ma:root="true" ma:fieldsID="e219609b8bcbb679406e79ed0b45f731" ns1:_="" ns2:_="" ns3:_="">
    <xsd:import namespace="http://schemas.microsoft.com/sharepoint/v3"/>
    <xsd:import namespace="20e50ee7-693d-4209-8f70-035a47af6dcb"/>
    <xsd:import namespace="5e198573-e412-49c4-8d2f-69a8498f8b4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3:TaxKeywordTaxHTField" minOccurs="0"/>
                <xsd:element ref="ns3:TaxCatchAll" minOccurs="0"/>
                <xsd:element ref="ns2:MediaLengthInSeconds" minOccurs="0"/>
                <xsd:element ref="ns1:_ip_UnifiedCompliancePolicyProperties" minOccurs="0"/>
                <xsd:element ref="ns1:_ip_UnifiedCompliancePolicyUIAc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e50ee7-693d-4209-8f70-035a47af6d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e198573-e412-49c4-8d2f-69a8498f8b4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KeywordTaxHTField" ma:index="21" nillable="true" ma:taxonomy="true" ma:internalName="TaxKeywordTaxHTField" ma:taxonomyFieldName="TaxKeyword" ma:displayName="Enterprise Keywords" ma:fieldId="{23f27201-bee3-471e-b2e7-b64fd8b7ca38}" ma:taxonomyMulti="true" ma:sspId="1f122b98-da75-4a75-834d-1aae3a7db2e2"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hidden="true" ma:list="{117730f2-b765-4e14-a7df-72173e781cc3}" ma:internalName="TaxCatchAll" ma:showField="CatchAllData" ma:web="5e198573-e412-49c4-8d2f-69a8498f8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e198573-e412-49c4-8d2f-69a8498f8b4f" xsi:nil="true"/>
    <lcf76f155ced4ddcb4097134ff3c332f xmlns="20e50ee7-693d-4209-8f70-035a47af6dcb">
      <Terms xmlns="http://schemas.microsoft.com/office/infopath/2007/PartnerControls"/>
    </lcf76f155ced4ddcb4097134ff3c332f>
    <_ip_UnifiedCompliancePolicyUIAction xmlns="http://schemas.microsoft.com/sharepoint/v3" xsi:nil="true"/>
    <TaxKeywordTaxHTField xmlns="5e198573-e412-49c4-8d2f-69a8498f8b4f">
      <Terms xmlns="http://schemas.microsoft.com/office/infopath/2007/PartnerControls"/>
    </TaxKeywordTaxHTField>
    <_ip_UnifiedCompliancePolicyProperties xmlns="http://schemas.microsoft.com/sharepoint/v3" xsi:nil="true"/>
  </documentManagement>
</p:properties>
</file>

<file path=customXml/itemProps1.xml><?xml version="1.0" encoding="utf-8"?>
<ds:datastoreItem xmlns:ds="http://schemas.openxmlformats.org/officeDocument/2006/customXml" ds:itemID="{64C1BBF9-9B3E-4827-BF16-821C5036B885}"/>
</file>

<file path=customXml/itemProps2.xml><?xml version="1.0" encoding="utf-8"?>
<ds:datastoreItem xmlns:ds="http://schemas.openxmlformats.org/officeDocument/2006/customXml" ds:itemID="{40C0FFD0-6F61-452D-8C39-E8C2168C2B5F}"/>
</file>

<file path=customXml/itemProps3.xml><?xml version="1.0" encoding="utf-8"?>
<ds:datastoreItem xmlns:ds="http://schemas.openxmlformats.org/officeDocument/2006/customXml" ds:itemID="{4E6A12FC-BB1B-4E54-B358-BBABDD5105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
  <cp:revision/>
  <dcterms:created xsi:type="dcterms:W3CDTF">2021-10-14T13:24:34Z</dcterms:created>
  <dcterms:modified xsi:type="dcterms:W3CDTF">2023-07-05T16:20:25Z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0x010100A60CB90D337D364783932A11D35E027B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