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ttps://netorgft2084129-my.sharepoint.com/personal/louisecutts_wessexplanning_com/Documents/Clients/1 Beech Road, Hedge End/4. Submission/"/>
    </mc:Choice>
  </mc:AlternateContent>
  <xr:revisionPtr revIDLastSave="3" documentId="8_{339294F8-D7CD-4F18-BB42-8169229C340A}" xr6:coauthVersionLast="47" xr6:coauthVersionMax="47" xr10:uidLastSave="{02B48B7B-EA89-480C-A66C-737FD4178EF7}"/>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29040" windowHeight="1572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<sst xmlns="http://schemas.openxmlformats.org/spreadsheetml/2006/main" count="3028" uniqueCount="845">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</sst>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environment.data.gov.uk/catchment-planning/" TargetMode="External"/><Relationship Id="rId7" Type="http://schemas.openxmlformats.org/officeDocument/2006/relationships/printerSettings" Target="../printerSettings/printerSettings1.bin"/><Relationship Id="rId2" Type="http://schemas.openxmlformats.org/officeDocument/2006/relationships/hyperlink" Target="http://[s1l0];/" TargetMode="External"/><Relationship Id="rId1" Type="http://schemas.openxmlformats.org/officeDocument/2006/relationships/hyperlink" Target="http://[s1l0];/" TargetMode="External"/><Relationship Id="rId6" Type="http://schemas.openxmlformats.org/officeDocument/2006/relationships/hyperlink" Target="https://nrfa.ceh.ac.uk/data/station/spatial/42019" TargetMode="External"/><Relationship Id="rId5" Type="http://schemas.openxmlformats.org/officeDocument/2006/relationships/hyperlink" Target="http://mapapps2.bgs.ac.uk/ukso/home.html?layers=NVZEng" TargetMode="External"/><Relationship Id="rId4" Type="http://schemas.openxmlformats.org/officeDocument/2006/relationships/hyperlink" Target="https://www.landis.org.uk/soilscapes/" TargetMode="External"/><Relationship Id="rId9"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4" zoomScaleNormal="100" workbookViewId="0">
      <selection activeCell="B44" sqref="B44"/>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r:id="rId1" location="Nutrients_from_wastewater!A1" xr:uid="{E36A1043-AB91-4942-BD3A-CCA4FEFDBABA}"/>
    <hyperlink ref="B11" r:id="rId2" location="Nutrients_from_current_land_use!A1"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3" xr:uid="{0F48C9B9-026B-4FFB-ACBE-0F8CA6240AAD}"/>
    <hyperlink ref="B42" r:id="rId4" location="." xr:uid="{2871AC31-C0A3-4C0A-B4E6-5BD88AD10E7B}"/>
    <hyperlink ref="B44" r:id="rId5" xr:uid="{B825DA77-EE8A-4059-989B-D2381E895B1A}"/>
    <hyperlink ref="B43" r:id="rId6" xr:uid="{8E480430-51C5-4A14-AE96-60F3A62EC698}"/>
  </hyperlinks>
  <pageMargins left="0.7" right="0.7" top="0.75" bottom="0.75" header="0.3" footer="0.3"/>
  <pageSetup paperSize="9" orientation="portrait" r:id="rId7"/>
  <headerFooter>
    <oddHeader>&amp;C&amp;"Calibri"&amp;12&amp;K0000FF - Official -&amp;1#_x000D_</oddHeader>
  </headerFooter>
  <tableParts count="2">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5" zoomScaleNormal="100" workbookViewId="0">
      <selection activeCell="B6" sqref="B6"/>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45809</v>
      </c>
      <c r="C5" s="80"/>
    </row>
    <row r="6" spans="1:4" ht="15.75" x14ac:dyDescent="0.25">
      <c r="A6" s="8" t="s">
        <v>71</v>
      </c>
      <c r="B6" s="15">
        <v>2.4</v>
      </c>
      <c r="C6" s="80"/>
    </row>
    <row r="7" spans="1:4" ht="15.75" x14ac:dyDescent="0.25">
      <c r="A7" s="8" t="s">
        <v>72</v>
      </c>
      <c r="B7" s="39">
        <v>120</v>
      </c>
      <c r="C7" s="80"/>
    </row>
    <row r="8" spans="1:4" ht="123.95" customHeight="1" x14ac:dyDescent="0.25">
      <c r="A8" s="8" t="s">
        <v>73</v>
      </c>
      <c r="B8" s="39">
        <v>2</v>
      </c>
      <c r="C8" s="80"/>
    </row>
    <row r="9" spans="1:4" ht="15.75" x14ac:dyDescent="0.25">
      <c r="A9" s="8" t="s">
        <v>74</v>
      </c>
      <c r="B9" s="39" t="s">
        <v>90</v>
      </c>
      <c r="C9" s="80"/>
    </row>
    <row r="10" spans="1:4" ht="30.75" customHeight="1" x14ac:dyDescent="0.25">
      <c r="A10" s="8" t="s">
        <v>75</v>
      </c>
      <c r="B10" s="39" t="s">
        <v>147</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25</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Post 2030 WwTW N permit (mg TN/litre):</v>
      </c>
      <c r="B13" s="16">
        <f>IFERROR(IF(AND($B$5&lt;DATE(2030,4,1),(VLOOKUP($B$10,Value_look_up_tables!$A$5:$J$84,5,FALSE))&gt;(VLOOKUP($B$10,Value_look_up_tables!$A$5:$J$84,9,FALSE))), IF(B9="Yes",VLOOKUP(B10,Value_look_up_tables!$A$5:$J$87,10,FALSE),VLOOKUP(B10,Value_look_up_tables!$A$5:$J$87,9,FALSE)),""),"")</f>
        <v>8</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Post-2030 Stage 1 Nutrient Loading</v>
      </c>
      <c r="B16" s="76"/>
    </row>
    <row r="17" spans="1:2" ht="15.75" x14ac:dyDescent="0.25">
      <c r="A17" s="6" t="s">
        <v>80</v>
      </c>
      <c r="B17" s="43">
        <f>IF(ISBLANK(B8),"",B6*B8)</f>
        <v>4.8</v>
      </c>
    </row>
    <row r="18" spans="1:2" ht="15.75" x14ac:dyDescent="0.25">
      <c r="A18" s="7" t="s">
        <v>81</v>
      </c>
      <c r="B18" s="16">
        <f>IFERROR(B17*B7,"")</f>
        <v>576</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1.51</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Pre-2030 Stage 1 Nutrient Loading</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Annual wastewater TN load (kg TN/yr):</v>
      </c>
      <c r="B21" s="45">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4.7300000000000004</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Normal="100" workbookViewId="0">
      <selection activeCell="A11" sqref="A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803</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4.8000000000000001E-2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0.69339432823199987</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4.8000000000000001E-2</v>
      </c>
      <c r="C28" s="17">
        <f>SUM(C11:C27)</f>
        <v>0.69339432823199987</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C5" sqref="C5"/>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4.8000000000000001E-2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0.69339432823199987</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4.8000000000000001E-2</v>
      </c>
      <c r="C22" s="31">
        <f>SUM(C5:C21)</f>
        <v>0.69339432823199987</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election activeCell="A4" sqref="A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1.51</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1.51</v>
      </c>
    </row>
    <row r="8" spans="1:4" ht="22.5" customHeight="1" x14ac:dyDescent="0.25">
      <c r="A8" s="8" t="s">
        <v>116</v>
      </c>
      <c r="B8" s="50">
        <f>IFERROR(IF(B7&lt;0,B7,B7*1.2),"")</f>
        <v>1.8119999999999998</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1.81</v>
      </c>
    </row>
    <row r="11" spans="1:4" ht="22.5" customHeight="1" x14ac:dyDescent="0.25">
      <c r="A11" s="49" t="str">
        <f>IF(Nutrients_from_wastewater!A20="","",LEFT(Nutrients_from_wastewater!A20,9)&amp;"Nutrient Budget")</f>
        <v>Pre-2030 Nutrient Budget</v>
      </c>
      <c r="B11" s="73"/>
    </row>
    <row r="12" spans="1:4" ht="22.5" customHeight="1" x14ac:dyDescent="0.25">
      <c r="A12" s="30" t="str">
        <f>IF(A11&lt;&gt;"","The total annual nitrogen load to mitigate is (kg TN/yr):","")</f>
        <v>The total annual nitrogen load to mitigate is (kg TN/yr):</v>
      </c>
      <c r="B12" s="83">
        <f>IF(IFERROR(ROUND((Nutrients_from_wastewater!B21+$B$6)*1.2,2),"")&lt;0,0,IFERROR(ROUND((Nutrients_from_wastewater!B21+$B$6)*1.2,2),""))</f>
        <v>5.68</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3.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Joe Cutts</cp:lastModifiedBy>
  <cp:revision/>
  <dcterms:created xsi:type="dcterms:W3CDTF">2021-10-14T13:24:34Z</dcterms:created>
  <dcterms:modified xsi:type="dcterms:W3CDTF">2024-03-14T10:07:44Z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