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updateLinks="never" defaultThemeVersion="166925"/>
  <mc:AlternateContent xmlns:mc="http://schemas.openxmlformats.org/markup-compatibility/2006">
    <mc:Choice Requires="x15">
      <x15ac:absPath xmlns:x15ac="http://schemas.microsoft.com/office/spreadsheetml/2010/11/ac" url="C:\Users\MNeep\Documents\workingfiles\unionsquare.edp-uk.co.uk\"/>
    </mc:Choice>
  </mc:AlternateContent>
  <xr:revisionPtr revIDLastSave="0" documentId="13_ncr:1_{1B4FCAFE-DA2A-4A89-89B1-CB3D8AA5545E}"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08" yWindow="-108" windowWidth="23256" windowHeight="12456"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F607" i="3"/>
  <c r="F608" i="3"/>
  <c r="F609" i="3"/>
  <c r="F610" i="3"/>
  <c r="H608" i="3"/>
  <c r="F611" i="3"/>
  <c r="F612" i="3"/>
  <c r="H612" i="3"/>
  <c r="F613" i="3"/>
  <c r="H613" i="3"/>
  <c r="F614" i="3"/>
  <c r="H614" i="3"/>
  <c r="C5" i="9"/>
  <c r="D5" i="22"/>
  <c r="G5" i="22"/>
  <c r="D6" i="22"/>
  <c r="D7" i="22"/>
  <c r="D8" i="22"/>
  <c r="D9" i="22"/>
  <c r="D10" i="22"/>
  <c r="D11" i="22"/>
  <c r="D12" i="22"/>
  <c r="D13" i="22"/>
  <c r="D14" i="22"/>
  <c r="D15" i="22"/>
  <c r="D16" i="22"/>
  <c r="D17" i="22"/>
  <c r="D18" i="22"/>
  <c r="D19" i="22"/>
  <c r="D20" i="22"/>
  <c r="D21" i="22"/>
  <c r="D22" i="22"/>
  <c r="D23" i="22"/>
  <c r="D24" i="22"/>
  <c r="D25" i="22"/>
  <c r="D26" i="22"/>
  <c r="D27" i="22"/>
  <c r="D28" i="22"/>
  <c r="D29"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c r="A23" i="21"/>
  <c r="A21" i="21"/>
  <c r="A20" i="21"/>
  <c r="A11" i="10"/>
  <c r="A12" i="10"/>
  <c r="J22" i="3"/>
  <c r="B11" i="21"/>
  <c r="A16" i="21"/>
  <c r="B12" i="21"/>
  <c r="B13" i="21"/>
  <c r="A13" i="21"/>
  <c r="A12" i="21"/>
  <c r="B21" i="21"/>
  <c r="B23" i="21"/>
  <c r="A22" i="21"/>
  <c r="B14" i="10"/>
  <c r="B19" i="21"/>
  <c r="A13" i="10"/>
  <c r="A14" i="10"/>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a="1"/>
  <c r="A710" i="3"/>
  <c r="B30" i="22"/>
  <c r="I84" i="3"/>
  <c r="I83" i="3"/>
  <c r="E83" i="3"/>
  <c r="E84"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c r="B5" i="10"/>
  <c r="G30" i="22"/>
  <c r="C28" i="8"/>
  <c r="C22" i="9"/>
  <c r="B6" i="10"/>
  <c r="B12" i="10"/>
  <c r="B22" i="9"/>
  <c r="B28" i="8"/>
  <c r="B7" i="10"/>
  <c r="B8" i="10"/>
  <c r="B10" i="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<sst xmlns="http://schemas.openxmlformats.org/spreadsheetml/2006/main" count="3032" uniqueCount="844">
  <si>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</si>
  <si>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</si>
  <si>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</si>
  <si>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</si>
  <si>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</si>
  <si>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</si>
  <si>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</si>
  <si>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</si>
  <si>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</si>
  <si>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</si>
  <si>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</si>
  <si>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</si>
  <si>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</si>
  <si>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</si>
  <si>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</si>
  <si>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</si>
  <si>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</si>
  <si>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</si>
  <si>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</si>
  <si>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</si>
  <si>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</si>
  <si>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</si>
  <si>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</si>
  <si>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</si>
  <si>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</si>
  <si>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</si>
  <si>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</si>
  <si>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</si>
  <si>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</si>
  <si>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</si>
  <si>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</si>
  <si>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</si>
  <si>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</si>
  <si>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</si>
  <si>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</si>
  <si>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</si>
  <si>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</si>
  <si>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</si>
  <si>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</si>
  <si>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</si>
  <si>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</si>
  <si>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</si>
  <si>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</si>
  <si>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</si>
  <si>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</si>
  <si>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</si>
  <si>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</si>
  <si>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</si>
  <si>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</si>
  <si>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</si>
  <si>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</si>
  <si>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</si>
  <si>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</si>
  <si>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</si>
  <si>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</si>
  <si>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</si>
  <si>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</si>
  <si>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</si>
  <si>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</si>
  <si>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</si>
  <si>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</si>
  <si>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</si>
  <si>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</si>
  <si>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</si>
  <si>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</si>
  <si>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</si>
  <si>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</si>
  <si>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</si>
  <si>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</si>
  <si>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</si>
  <si>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</si>
  <si>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</si>
  <si>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</si>
  <si>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</si>
  <si>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</si>
  <si>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</si>
  <si>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</si>
  <si>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</si>
  <si>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</si>
  <si>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</si>
  <si>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</si>
  <si>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</si>
  <si>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</si>
  <si>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</si>
  <si>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</si>
  <si>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</si>
  <si>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</si>
  <si>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</si>
  <si>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</si>
  <si>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</si>
  <si>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</si>
  <si>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</si>
  <si>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</si>
  <si>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</si>
  <si>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</si>
  <si>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</si>
  <si>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</si>
  <si>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</si>
  <si>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</si>
  <si>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</si>
  <si>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</si>
  <si>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</si>
  <si>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</si>
  <si>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</si>
  <si>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</si>
  <si>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</si>
  <si>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</si>
  <si>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</si>
  <si>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</si>
  <si>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</si>
  <si>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</si>
  <si>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</si>
  <si>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</si>
  <si>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</si>
  <si>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</si>
  <si>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</si>
  <si>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</si>
  <si>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</si>
  <si>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</si>
  <si>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</si>
  <si>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</si>
  <si>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</si>
  <si>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</si>
  <si>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</si>
  <si>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</si>
  <si>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</si>
  <si>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</si>
  <si>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</si>
  <si>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</si>
  <si>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</si>
  <si>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</si>
  <si>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</si>
  <si>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</si>
  <si>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</si>
  <si>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</si>
  <si>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</si>
  <si>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</si>
  <si>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</si>
  <si>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</si>
  <si>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</si>
  <si>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</si>
  <si>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</si>
  <si>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</si>
  <si>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</si>
  <si>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</si>
  <si>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</si>
  <si>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</si>
  <si>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</si>
  <si>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</si>
  <si>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</si>
  <si>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</si>
  <si>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</si>
  <si>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</si>
  <si>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</si>
  <si>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</si>
  <si>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</si>
  <si>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</si>
  <si>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</si>
  <si>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</si>
  <si>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</si>
  <si>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</si>
  <si>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</si>
  <si>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</si>
  <si>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</si>
  <si>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</si>
  <si>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</si>
  <si>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</si>
  <si>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</si>
  <si>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</si>
  <si>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</si>
  <si>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</si>
  <si>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</si>
  <si>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</si>
  <si>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</si>
  <si>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</si>
  <si>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</si>
  <si>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</si>
  <si>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</si>
  <si>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</si>
  <si>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</si>
  <si>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</si>
  <si>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</si>
  <si>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</si>
  <si>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</si>
  <si>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</si>
  <si>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</si>
  <si>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</si>
  <si>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</si>
  <si>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</si>
  <si>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</si>
  <si>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</si>
  <si>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</si>
  <si>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</si>
  <si>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</si>
  <si>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</si>
  <si>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</si>
  <si>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</si>
  <si>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</si>
  <si>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</si>
  <si>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</si>
  <si>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</si>
  <si>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</si>
  <si>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</si>
  <si>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</si>
  <si>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</si>
  <si>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</si>
  <si>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</si>
  <si>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</si>
  <si>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</si>
  <si>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</si>
  <si>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</si>
  <si>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</si>
  <si>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</si>
  <si>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</si>
  <si>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</si>
  <si>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</si>
  <si>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</si>
  <si>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</si>
  <si>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</si>
  <si>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</si>
  <si>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</si>
  <si>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</si>
  <si>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</si>
  <si>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</si>
  <si>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</si>
  <si>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</si>
  <si>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</si>
  <si>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</si>
  <si>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</si>
  <si>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</si>
  <si>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</si>
  <si>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</si>
  <si>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</si>
  <si>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</si>
  <si>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</si>
  <si>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</si>
  <si>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</si>
  <si>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</si>
  <si>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</si>
  <si>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</si>
  <si>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</si>
  <si>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</si>
  <si>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</si>
  <si>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</si>
  <si>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</si>
  <si>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</si>
  <si>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</si>
  <si>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</si>
  <si>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</si>
  <si>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</si>
  <si>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</si>
  <si>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</si>
  <si>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</si>
  <si>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</si>
  <si>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</si>
  <si>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</si>
  <si>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</si>
  <si>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</si>
  <si>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</si>
  <si>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</si>
  <si>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</si>
  <si>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</si>
  <si>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</si>
  <si>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</si>
  <si>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</si>
  <si>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</si>
  <si>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</si>
  <si>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</si>
  <si>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</si>
  <si>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</si>
  <si>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</si>
  <si>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</si>
  <si>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</si>
  <si>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</si>
  <si>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</si>
  <si>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</si>
  <si>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</si>
  <si>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</si>
  <si>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</si>
  <si>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</si>
  <si>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</si>
  <si>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</si>
  <si>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</si>
  <si>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</si>
  <si>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</si>
  <si>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</si>
  <si>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</si>
  <si>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</si>
  <si>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</si>
  <si>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</si>
  <si>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</si>
  <si>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</si>
  <si>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</si>
  <si>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</si>
  <si>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</si>
  <si>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</si>
  <si>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</si>
  <si>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</si>
  <si>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</si>
  <si>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</si>
  <si>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</si>
  <si>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</si>
  <si>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</si>
  <si>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</si>
  <si>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</si>
  <si>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</si>
  <si>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</si>
  <si>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</si>
  <si>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</si>
  <si>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</si>
  <si>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</si>
  <si>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</si>
  <si>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</si>
  <si>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</si>
  <si>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</si>
  <si>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</si>
  <si>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</si>
  <si>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</si>
  <si>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</si>
  <si>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</si>
  <si>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</si>
  <si>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</si>
  <si>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</si>
  <si>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</si>
  <si>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</si>
  <si>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</si>
  <si>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</si>
  <si>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</si>
  <si>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</si>
  <si>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</si>
  <si>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</si>
  <si>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</si>
  <si>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</si>
  <si>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</si>
  <si>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</si>
  <si>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</si>
  <si>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</si>
  <si>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</si>
  <si>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</si>
  <si>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</si>
  <si>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</si>
  <si>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</si>
  <si>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</si>
  <si>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</si>
  <si>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</si>
  <si>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</si>
  <si>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</si>
  <si>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</si>
  <si>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</si>
  <si>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</si>
  <si>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</si>
  <si>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</si>
  <si>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</si>
  <si>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</si>
  <si>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</si>
  <si>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</si>
  <si>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</si>
  <si>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</si>
  <si>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</si>
  <si>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</si>
  <si>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</si>
  <si>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</si>
  <si>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</si>
  <si>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</si>
  <si>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</si>
  <si>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</si>
  <si>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</si>
  <si>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</si>
  <si>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</si>
  <si>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</si>
  <si>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</si>
  <si>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</si>
  <si>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</si>
  <si>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</si>
  <si>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</si>
  <si>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</si>
  <si>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</si>
  <si>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</si>
  <si>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</si>
  <si>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</si>
  <si>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</si>
  <si>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</si>
  <si>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</si>
  <si>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</si>
  <si>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</si>
  <si>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</si>
  <si>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</si>
  <si>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</si>
  <si>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</si>
  <si>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</si>
  <si>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</si>
  <si>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</si>
  <si>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</si>
  <si>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</si>
  <si>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</si>
  <si>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</si>
  <si>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</si>
  <si>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</si>
  <si>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</si>
  <si>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</si>
  <si>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</si>
  <si>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</si>
  <si>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</si>
  <si>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</si>
  <si>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</si>
  <si>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</si>
  <si>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</si>
  <si>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</si>
  <si>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</si>
  <si>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</si>
  <si>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</si>
  <si>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</si>
  <si>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</si>
  <si>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</si>
  <si>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</si>
  <si>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</si>
  <si>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</si>
  <si>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</si>
  <si>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</si>
  <si>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</si>
  <si>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</si>
  <si>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</si>
  <si>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</si>
  <si>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</si>
  <si>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</si>
  <si>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</si>
  <si>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</si>
  <si>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</si>
  <si>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</si>
  <si>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</si>
  <si>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</si>
  <si>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</si>
  <si>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</si>
  <si>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</si>
  <si>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</si>
  <si>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</si>
  <si>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</si>
  <si>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</si>
  <si>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</si>
  <si>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</si>
  <si>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</si>
  <si>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</si>
  <si>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</si>
  <si>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</si>
  <si>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</si>
  <si>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</si>
  <si>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</si>
  <si>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</si>
  <si>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</si>
  <si>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</si>
  <si>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</si>
  <si>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</si>
  <si>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</si>
  <si>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</si>
  <si>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</si>
  <si>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</si>
  <si>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</si>
  <si>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</si>
  <si>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</si>
  <si>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</si>
  <si>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</si>
  <si>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</si>
  <si>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</si>
  <si>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</si>
  <si>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</si>
  <si>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</si>
  <si>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</si>
  <si>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</si>
  <si>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</si>
  <si>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</si>
  <si>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</si>
  <si>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</si>
  <si>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</si>
  <si>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</si>
  <si>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</si>
  <si>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</si>
  <si>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</si>
  <si>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</si>
  <si>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</si>
  <si>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</si>
  <si>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</si>
  <si>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</si>
  <si>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</si>
  <si>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</si>
  <si>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</si>
  <si>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</si>
  <si>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</si>
  <si>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</si>
  <si>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</si>
  <si>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</si>
  <si>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</si>
  <si>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</si>
  <si>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</si>
  <si>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</si>
  <si>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</si>
  <si>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</si>
  <si>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</si>
  <si>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</si>
  <si>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</si>
  <si>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</si>
  <si>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</si>
  <si>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</si>
  <si>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</si>
  <si>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</si>
  <si>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</si>
  <si>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</si>
  <si>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</si>
  <si>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</si>
  <si>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</si>
  <si>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</si>
  <si>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</si>
  <si>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</si>
  <si>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</si>
  <si>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</si>
  <si>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</si>
  <si>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</si>
  <si>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</si>
  <si>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</si>
  <si>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</si>
  <si>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</si>
  <si>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</si>
  <si>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</si>
  <si>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</si>
  <si>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</si>
  <si>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</si>
  <si>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</si>
  <si>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</si>
  <si>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</si>
  <si>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</si>
  <si>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</si>
  <si>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</si>
  <si>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</si>
  <si>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</si>
  <si>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</si>
  <si>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</si>
  <si>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</si>
  <si>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</si>
  <si>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</si>
  <si>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</si>
  <si>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</si>
  <si>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</si>
  <si>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</si>
  <si>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</si>
  <si>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</si>
  <si>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</si>
  <si>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</si>
  <si>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</si>
  <si>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</si>
  <si>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</si>
  <si>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</si>
  <si>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</si>
  <si>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</si>
  <si>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</si>
  <si>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</si>
  <si>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</si>
  <si>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</si>
  <si>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</si>
  <si>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</si>
  <si>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</si>
  <si>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</si>
  <si>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</si>
  <si>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</si>
  <si>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</si>
  <si>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</si>
  <si>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</si>
  <si>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</si>
  <si>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</si>
  <si>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</si>
  <si>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</si>
  <si>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</si>
  <si>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</si>
  <si>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</si>
  <si>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</si>
  <si>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</si>
  <si>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</si>
  <si>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</si>
  <si>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</si>
  <si>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</si>
  <si>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</si>
  <si>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</si>
  <si>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</si>
  <si>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</si>
  <si>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</si>
  <si>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</si>
  <si>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</si>
  <si>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</si>
  <si>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</si>
  <si>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</si>
  <si>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</si>
  <si>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</si>
  <si>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</si>
  <si>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</si>
  <si>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</si>
  <si>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</si>
  <si>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</si>
  <si>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</si>
  <si>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</si>
  <si>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</si>
  <si>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</si>
  <si>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</si>
  <si>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</si>
  <si>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</si>
  <si>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</si>
  <si>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</si>
  <si>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</si>
  <si>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</si>
  <si>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</si>
  <si>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</si>
  <si>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</si>
  <si>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</si>
  <si>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</si>
  <si>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</si>
  <si>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</si>
  <si>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</si>
  <si>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</si>
  <si>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</si>
  <si>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</si>
  <si>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</si>
  <si>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</si>
  <si>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</si>
  <si>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</si>
  <si>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</si>
  <si>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</si>
  <si>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</si>
  <si>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</si>
  <si>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</si>
  <si>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</si>
  <si>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</si>
  <si>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</si>
  <si>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</si>
  <si>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</si>
  <si>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</si>
  <si>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</si>
  <si>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</si>
  <si>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</si>
  <si>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</si>
  <si>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</si>
  <si>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</si>
  <si>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</si>
  <si>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</si>
  <si>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</si>
  <si>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</si>
  <si>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</si>
  <si>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</si>
  <si>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</si>
  <si>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</si>
  <si>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</si>
  <si>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</si>
  <si>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</si>
  <si>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</si>
  <si>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</si>
  <si>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</si>
  <si>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</si>
  <si>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</si>
  <si>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</si>
  <si>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</si>
  <si>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</si>
  <si>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</si>
  <si>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</si>
  <si>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</si>
  <si>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</si>
  <si>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</si>
  <si>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</si>
  <si>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</si>
  <si>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</si>
  <si>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</si>
  <si>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</si>
  <si>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</si>
  <si>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</si>
  <si>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</si>
  <si>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</si>
  <si>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</si>
  <si>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</si>
  <si>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</si>
  <si>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</si>
  <si>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</si>
  <si>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</si>
  <si>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</si>
  <si>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</si>
  <si>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</si>
  <si>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</si>
  <si>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</si>
  <si>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</si>
  <si>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</si>
  <si>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</si>
  <si>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</si>
  <si>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</si>
  <si>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</si>
  <si>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</si>
  <si>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</si>
  <si>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</si>
  <si>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</si>
  <si>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</si>
  <si>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</si>
  <si>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</si>
  <si>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</si>
  <si>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</si>
  <si>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</si>
  <si>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</si>
  <si>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</si>
  <si>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</si>
  <si>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</si>
  <si>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</si>
  <si>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</si>
  <si>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</si>
  <si>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</si>
  <si>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</si>
  <si>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</si>
  <si>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</si>
  <si>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</si>
  <si>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</si>
  <si>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</si>
  <si>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</si>
  <si>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</si>
  <si>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</si>
  <si>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</si>
  <si>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</si>
  <si>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</si>
  <si>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</si>
  <si>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</si>
  <si>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</si>
  <si>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</si>
  <si>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</si>
  <si>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</si>
  <si>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</si>
  <si>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</si>
  <si>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</si>
  <si>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</si>
  <si>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</si>
  <si>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</si>
  <si>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</si>
  <si>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</si>
  <si>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</si>
  <si>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</si>
  <si>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</si>
  <si>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</si>
  <si>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</si>
  <si>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</si>
  <si>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</si>
  <si>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</si>
  <si>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</si>
  <si>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</si>
  <si>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</si>
  <si>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</si>
  <si>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</si>
  <si>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</si>
  <si>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</si>
  <si>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</si>
  <si>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</si>
  <si>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</si>
  <si>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</si>
  <si>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</si>
  <si>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</si>
  <si>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</si>
  <si>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</si>
  <si>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</si>
  <si>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</si>
  <si>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</si>
  <si>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</si>
  <si>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</si>
  <si>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</si>
  <si>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</si>
  <si>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</si>
  <si>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</si>
  <si>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</si>
  <si>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</si>
  <si>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</si>
  <si>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</si>
  <si>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</si>
  <si>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</si>
  <si>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</si>
  <si>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</si>
  <si>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</si>
  <si>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</si>
  <si>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</si>
  <si>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</si>
  <si>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</si>
  <si>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</si>
  <si>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</si>
  <si>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</si>
  <si>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</si>
  <si>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</si>
  <si>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</si>
  <si>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</si>
  <si>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</si>
  <si>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</si>
  <si>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</si>
  <si>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</si>
  <si>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</si>
  <si>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</si>
  <si>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</si>
  <si>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</si>
  <si>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</si>
  <si>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</si>
  <si>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</si>
  <si>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</si>
  <si>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</si>
  <si>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</si>
  <si>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</si>
  <si>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</si>
  <si>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</si>
  <si>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</si>
  <si>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</si>
  <si>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</si>
  <si>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</si>
  <si>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</si>
  <si>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</si>
  <si>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</si>
  <si>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</si>
  <si>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</si>
  <si>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</si>
  <si>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</si>
  <si>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</si>
  <si>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</si>
  <si>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</si>
  <si>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</si>
  <si>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</si>
  <si>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</si>
  <si>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</si>
  <si>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</si>
  <si>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</si>
  <si>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</si>
  <si>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</si>
  <si>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</si>
  <si>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</si>
  <si>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</si>
  <si>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</si>
  <si>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</si>
  <si>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</si>
  <si>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</si>
  <si>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</si>
  <si>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</si>
  <si>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</si>
  <si>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</si>
  <si>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</si>
  <si>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</si>
  <si>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</si>
  <si>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</si>
  <si>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</si>
  <si>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</si>
  <si>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</si>
  <si>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</si>
  <si>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</si>
  <si>
    <t>Dry swale and pond treatment train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</si>
</sst>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sheetPr>
    <pageSetUpPr fitToPage="1"/>
  </sheetPr>
  <dimension ref="A1:B68"/>
  <sheetViews>
    <sheetView topLeftCell="A37" zoomScaleNormal="100" workbookViewId="0">
      <selection activeCell="A57" sqref="A57"/>
    </sheetView>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scale="73" fitToHeight="0" orientation="landscape"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C23"/>
  <sheetViews>
    <sheetView topLeftCell="A3" zoomScaleNormal="100" workbookViewId="0">
      <selection activeCell="A2" sqref="A2"/>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45962</v>
      </c>
      <c r="C5" s="18"/>
    </row>
    <row r="6" spans="1:3" ht="20.25" customHeight="1" x14ac:dyDescent="0.3">
      <c r="A6" s="17" t="s">
        <v>69</v>
      </c>
      <c r="B6" s="25">
        <v>2.4</v>
      </c>
      <c r="C6" s="18"/>
    </row>
    <row r="7" spans="1:3" ht="20.25" customHeight="1" x14ac:dyDescent="0.3">
      <c r="A7" s="17" t="s">
        <v>70</v>
      </c>
      <c r="B7" s="26">
        <v>120</v>
      </c>
      <c r="C7" s="18"/>
    </row>
    <row r="8" spans="1:3" ht="20.25" customHeight="1" x14ac:dyDescent="0.3">
      <c r="A8" s="17" t="s">
        <v>71</v>
      </c>
      <c r="B8" s="26">
        <v>245</v>
      </c>
      <c r="C8" s="18"/>
    </row>
    <row r="9" spans="1:3" ht="20.25" customHeight="1" x14ac:dyDescent="0.3">
      <c r="A9" s="17" t="s">
        <v>72</v>
      </c>
      <c r="B9" s="26" t="s">
        <v>834</v>
      </c>
      <c r="C9" s="18"/>
    </row>
    <row r="10" spans="1:3" ht="39.75" customHeight="1" x14ac:dyDescent="0.3">
      <c r="A10" s="17" t="s">
        <v>73</v>
      </c>
      <c r="B10" s="26" t="s">
        <v>144</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25</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Post 2030 WwTW N permit (mg TN/litre):</v>
      </c>
      <c r="B13" s="21">
        <f>IFERROR(IF(AND($B$5&lt;DATE(2030,4,1),(VLOOKUP($B$10,Value_look_up_tables!$A$5:$J$84,5,FALSE))&gt;(VLOOKUP($B$10,Value_look_up_tables!$A$5:$J$84,9,FALSE))), IF(B9="Yes",VLOOKUP(B10,Value_look_up_tables!$A$5:$J$87,10,FALSE),VLOOKUP(B10,Value_look_up_tables!$A$5:$J$87,9,FALSE)),"Not applicable"),"Not applicable")</f>
        <v>8</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Post-2030 wastewater nutrient loading</v>
      </c>
      <c r="B16" s="36"/>
    </row>
    <row r="17" spans="1:2" ht="20.25" customHeight="1" x14ac:dyDescent="0.3">
      <c r="A17" s="17" t="s">
        <v>78</v>
      </c>
      <c r="B17" s="31">
        <f>IF(ISBLANK(B8),0,B6*B8)</f>
        <v>588</v>
      </c>
    </row>
    <row r="18" spans="1:2" ht="20.25" customHeight="1" x14ac:dyDescent="0.3">
      <c r="A18" s="17" t="s">
        <v>79</v>
      </c>
      <c r="B18" s="31">
        <f>IFERROR(B17*B7,0)</f>
        <v>70560</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185.56</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Pre-2030 wastewater nutrient loading</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Annual wastewater TN load (kg TN/yr):</v>
      </c>
      <c r="B21" s="31">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644.29999999999995</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scale="48" fitToWidth="0" orientation="landscape"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3" zoomScaleNormal="100" workbookViewId="0">
      <selection activeCell="B9" sqref="B9"/>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223</v>
      </c>
      <c r="F5" s="37"/>
    </row>
    <row r="6" spans="1:6" ht="23.25" customHeight="1" x14ac:dyDescent="0.3">
      <c r="A6" s="17" t="s">
        <v>84</v>
      </c>
      <c r="B6" s="43" t="s">
        <v>826</v>
      </c>
    </row>
    <row r="7" spans="1:6" ht="23.25" customHeight="1" x14ac:dyDescent="0.3">
      <c r="A7" s="17" t="s">
        <v>85</v>
      </c>
      <c r="B7" s="44" t="s">
        <v>800</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237</v>
      </c>
      <c r="B11" s="25">
        <v>11.05</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158.26580530289604</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11.05</v>
      </c>
      <c r="C28" s="39">
        <f>SUM(C11:C27)</f>
        <v>158.26580530289604</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scale="35" fitToHeight="0"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zoomScaleNormal="100" workbookViewId="0">
      <selection activeCell="A12" sqref="A12"/>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7.1119000000000003</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102.73648172819082</v>
      </c>
    </row>
    <row r="6" spans="1:3" ht="23.25" customHeight="1" x14ac:dyDescent="0.25">
      <c r="A6" s="59" t="s">
        <v>770</v>
      </c>
      <c r="B6" s="60">
        <v>3.02</v>
      </c>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9.06</v>
      </c>
    </row>
    <row r="7" spans="1:3" ht="23.25" customHeight="1" x14ac:dyDescent="0.25">
      <c r="A7" s="59" t="s">
        <v>773</v>
      </c>
      <c r="B7" s="60">
        <v>8.5000000000000006E-3</v>
      </c>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2.5500000000000002E-2</v>
      </c>
    </row>
    <row r="8" spans="1:3" ht="23.25" customHeight="1" x14ac:dyDescent="0.25">
      <c r="A8" s="59" t="s">
        <v>774</v>
      </c>
      <c r="B8" s="60">
        <v>2.6800000000000001E-2</v>
      </c>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t="s">
        <v>773</v>
      </c>
      <c r="B9" s="60">
        <v>0.88370000000000004</v>
      </c>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2.6511</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11.050899999999999</v>
      </c>
      <c r="C22" s="54">
        <f>SUM(C5:C21)</f>
        <v>114.47308172819082</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scale="54" fitToHeight="0"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G5" sqref="G5"/>
    </sheetView>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t="s">
        <v>775</v>
      </c>
      <c r="B5" s="25">
        <v>6.58</v>
      </c>
      <c r="C5" s="65">
        <v>100</v>
      </c>
      <c r="D5" s="48">
        <f>IFERROR(IF(ISBLANK(A5),0,IF(ISBLANK(B5),0,VLOOKUP(A5,Nutrients_from_future_land_use!$A$5:$C$21,3,FALSE)*(B5/VLOOKUP(A5,Nutrients_from_future_land_use!$A$5:$C$21,2,FALSE)))),0)</f>
        <v>95.052805828469971</v>
      </c>
      <c r="E5" s="65" t="s">
        <v>843</v>
      </c>
      <c r="F5" s="65">
        <v>0</v>
      </c>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6.58</v>
      </c>
      <c r="C30" s="67"/>
      <c r="D30" s="63">
        <f t="shared" ref="D30" si="1">SUM(D5:D29)</f>
        <v>95.052805828469971</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election activeCell="A11" sqref="A11:B12"/>
    </sheetView>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185.56</v>
      </c>
    </row>
    <row r="6" spans="1:4" ht="23.25" customHeight="1" x14ac:dyDescent="0.3">
      <c r="A6" s="17" t="s">
        <v>111</v>
      </c>
      <c r="B6" s="72">
        <f>IFERROR(Nutrients_from_future_land_use!C22-SuDS!G30-Nutrients_from_current_land_use!C28,0)</f>
        <v>-43.792723574705221</v>
      </c>
    </row>
    <row r="7" spans="1:4" ht="23.25" customHeight="1" x14ac:dyDescent="0.3">
      <c r="A7" s="17" t="s">
        <v>112</v>
      </c>
      <c r="B7" s="72">
        <f>IFERROR(B5+B6,0)</f>
        <v>141.76727642529477</v>
      </c>
    </row>
    <row r="8" spans="1:4" ht="23.25" customHeight="1" x14ac:dyDescent="0.3">
      <c r="A8" s="17" t="s">
        <v>113</v>
      </c>
      <c r="B8" s="72">
        <f>IFERROR(IF(B7&lt;0,B7,B7*1.2),0)</f>
        <v>170.12073171035371</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170.12</v>
      </c>
    </row>
    <row r="11" spans="1:4" ht="23.25" customHeight="1" x14ac:dyDescent="0.3">
      <c r="A11" s="76" t="str">
        <f>IF(Nutrients_from_wastewater!A20="Not applicable","Not applicable",LEFT(Nutrients_from_wastewater!A20,9)&amp;"nutrient budget")</f>
        <v>Pre-2030 nutrient budget</v>
      </c>
      <c r="B11" s="77"/>
    </row>
    <row r="12" spans="1:4" ht="23.25" customHeight="1" x14ac:dyDescent="0.3">
      <c r="A12" s="71" t="str">
        <f>IF(A11&lt;&gt;"Not applicable","The total annual nitrogen load to mitigate is (kg TN/yr):","Not applicable")</f>
        <v>The total annual nitrogen load to mitigate is (kg TN/yr):</v>
      </c>
      <c r="B12" s="73">
        <f>IF(IFERROR(ROUND((Nutrients_from_wastewater!B21+$B$6)*1.2,2),"Not applicable")&lt;0,0,IFERROR(ROUND((Nutrients_from_wastewater!B21+$B$6)*1.2,2),"Not applicable"))</f>
        <v>720.61</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3"/>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A713">_xlfn._xlws.SORT(_xlfn.UNIQUE(_xlfn._xlws.FILTER(Nutrients_from_future_land_use!$A$5:$A$21,Nutrients_from_future_land_use!$A$5:$A$21&lt;&gt;"")))</f>
        <v>Greenspace</v>
      </c>
    </row>
    <row r="711" spans="1:1" x14ac:dyDescent="0.25">
      <c r="A711" s="81" t="str">
        <v>Residential urban land</v>
      </c>
    </row>
    <row r="712" spans="1:1" x14ac:dyDescent="0.25">
      <c r="A712" s="81" t="str">
        <v>Shrub</v>
      </c>
    </row>
    <row r="713" spans="1:1" x14ac:dyDescent="0.25">
      <c r="A713" s="81" t="str">
        <v>Water</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ct:contentTypeSchema xmlns:ct="http://schemas.microsoft.com/office/2006/metadata/contentType" xmlns:ma="http://schemas.microsoft.com/office/2006/metadata/properties/metaAttributes" ct:_="" ma:_="" ma:contentTypeName="Document" ma:contentTypeID="0x010100671221CB59B75242AA937DE03BAEB55C" ma:contentTypeVersion="13" ma:contentTypeDescription="Create a new document." ma:contentTypeScope="" ma:versionID="3952da4c3978127981715a791e3ac4d9">
  <xsd:schema xmlns:xsd="http://www.w3.org/2001/XMLSchema" xmlns:xs="http://www.w3.org/2001/XMLSchema" xmlns:p="http://schemas.microsoft.com/office/2006/metadata/properties" xmlns:ns2="c15be10f-aa3a-4db8-90d2-bb30f5e31594" xmlns:ns3="517523b1-f71d-479c-a9a9-656e88ad1df4" targetNamespace="http://schemas.microsoft.com/office/2006/metadata/properties" ma:root="true" ma:fieldsID="4d599c6b6ba4bfe5998a8fe4cc54f07e" ns2:_="" ns3:_="">
    <xsd:import namespace="c15be10f-aa3a-4db8-90d2-bb30f5e31594"/>
    <xsd:import namespace="517523b1-f71d-479c-a9a9-656e88ad1d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Comment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5be10f-aa3a-4db8-90d2-bb30f5e315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5871bbe-9040-4b0d-8273-809c391d2a3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Comments" ma:index="19" nillable="true" ma:displayName="Comments" ma:description="Description of comms" ma:format="Dropdown" ma:internalName="Comments">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17523b1-f71d-479c-a9a9-656e88ad1df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de767e-dfff-4d06-a77a-50fae614186d}" ma:internalName="TaxCatchAll" ma:showField="CatchAllData" ma:web="517523b1-f71d-479c-a9a9-656e88ad1d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517523b1-f71d-479c-a9a9-656e88ad1df4">
      <Value>9</Value>
      <Value>15</Value>
      <Value>3</Value>
      <Value>2</Value>
      <Value>1</Value>
    </TaxCatchAll>
    <lcf76f155ced4ddcb4097134ff3c332f xmlns="c15be10f-aa3a-4db8-90d2-bb30f5e31594">
      <Terms xmlns="http://schemas.microsoft.com/office/infopath/2007/PartnerControls"/>
    </lcf76f155ced4ddcb4097134ff3c332f>
    <Comments xmlns="c15be10f-aa3a-4db8-90d2-bb30f5e31594" xsi:nil="true"/>
  </documentManagement>
</p:properties>
</file>

<file path=customXml/item5.xml>��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A6B14C-4D91-4AF8-BE50-975DBA5D70FC}"/>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Michael Neep</cp:lastModifiedBy>
  <cp:revision/>
  <cp:lastPrinted>2024-10-25T11:58:12Z</cp:lastPrinted>
  <dcterms:created xsi:type="dcterms:W3CDTF">2021-10-14T13:24:34Z</dcterms:created>
  <dcterms:modified xsi:type="dcterms:W3CDTF">2024-10-28T15:59:55Z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0x010100671221CB59B75242AA937DE03BAEB55C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