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updateLinks="never" defaultThemeVersion="166925"/>
  <mc:AlternateContent xmlns:mc="http://schemas.openxmlformats.org/markup-compatibility/2006">
    <mc:Choice Requires="x15">
      <x15ac:absPath xmlns:x15ac="http://schemas.microsoft.com/office/spreadsheetml/2010/11/ac" url="C:\Temp\Desktop\NeilDesktop\Desktop\47 The Drove Submission Plans_DELETE\"/>
    </mc:Choice>
  </mc:AlternateContent>
  <xr:revisionPtr revIDLastSave="0" documentId="13_ncr:1_{60CE0B99-DFE5-4A32-8EE3-3B5EC2C56567}"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20" yWindow="-120" windowWidth="29040" windowHeight="1584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C5" i="9" l="1"/>
  <c r="C11" i="8"/>
  <c r="F614" i="3"/>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<sst xmlns="http://schemas.openxmlformats.org/spreadsheetml/2006/main" count="3026" uniqueCount="843">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</sst>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38" zoomScaleNormal="100" workbookViewId="0">
      <selection activeCell="A45" sqref="A45"/>
    </sheetView>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2" zoomScaleNormal="100" workbookViewId="0">
      <selection activeCell="D5" sqref="D5"/>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v>45677</v>
      </c>
      <c r="C5" s="18"/>
    </row>
    <row r="6" spans="1:3" ht="20.25" customHeight="1" x14ac:dyDescent="0.25">
      <c r="A6" s="17" t="s">
        <v>69</v>
      </c>
      <c r="B6" s="25">
        <v>2.4</v>
      </c>
      <c r="C6" s="18"/>
    </row>
    <row r="7" spans="1:3" ht="20.25" customHeight="1" x14ac:dyDescent="0.25">
      <c r="A7" s="17" t="s">
        <v>70</v>
      </c>
      <c r="B7" s="26">
        <v>120</v>
      </c>
      <c r="C7" s="18"/>
    </row>
    <row r="8" spans="1:3" ht="20.25" customHeight="1" x14ac:dyDescent="0.25">
      <c r="A8" s="17" t="s">
        <v>71</v>
      </c>
      <c r="B8" s="26">
        <v>1</v>
      </c>
      <c r="C8" s="18"/>
    </row>
    <row r="9" spans="1:3" ht="20.25" customHeight="1" x14ac:dyDescent="0.25">
      <c r="A9" s="17" t="s">
        <v>72</v>
      </c>
      <c r="B9" s="26" t="s">
        <v>834</v>
      </c>
      <c r="C9" s="18"/>
    </row>
    <row r="10" spans="1:3" ht="39.75" customHeight="1" x14ac:dyDescent="0.25">
      <c r="A10" s="17" t="s">
        <v>73</v>
      </c>
      <c r="B10" s="26" t="s">
        <v>184</v>
      </c>
      <c r="C10" s="18"/>
    </row>
    <row r="11" spans="1:3" ht="20.25" customHeight="1" x14ac:dyDescent="0.2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25</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Post 2030 WwTW N permit (mg TN/litre):</v>
      </c>
      <c r="B13" s="21">
        <f>IFERROR(IF(AND($B$5&lt;DATE(2030,4,1),(VLOOKUP($B$10,Value_look_up_tables!$A$5:$J$84,5,FALSE))&gt;(VLOOKUP($B$10,Value_look_up_tables!$A$5:$J$84,9,FALSE))), IF(B9="Yes",VLOOKUP(B10,Value_look_up_tables!$A$5:$J$87,10,FALSE),VLOOKUP(B10,Value_look_up_tables!$A$5:$J$87,9,FALSE)),"Not applicable"),"Not applicable")</f>
        <v>8</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Post-2030 wastewater nutrient loading</v>
      </c>
      <c r="B16" s="36"/>
    </row>
    <row r="17" spans="1:2" ht="20.25" customHeight="1" x14ac:dyDescent="0.25">
      <c r="A17" s="17" t="s">
        <v>78</v>
      </c>
      <c r="B17" s="31">
        <f>IF(ISBLANK(B8),0,B6*B8)</f>
        <v>2.4</v>
      </c>
    </row>
    <row r="18" spans="1:2" ht="20.25" customHeight="1" x14ac:dyDescent="0.25">
      <c r="A18" s="17" t="s">
        <v>79</v>
      </c>
      <c r="B18" s="31">
        <f>IFERROR(B17*B7,0)</f>
        <v>288</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0.76</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Pre-2030 wastewater nutrient loading</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Annual wastewater TN load (kg TN/yr):</v>
      </c>
      <c r="B21" s="31">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2.63</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Normal="100" workbookViewId="0">
      <selection activeCell="C9" sqref="C9"/>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t="s">
        <v>442</v>
      </c>
      <c r="F5" s="37"/>
    </row>
    <row r="6" spans="1:6" ht="23.25" customHeight="1" x14ac:dyDescent="0.25">
      <c r="A6" s="17" t="s">
        <v>84</v>
      </c>
      <c r="B6" s="43" t="s">
        <v>828</v>
      </c>
    </row>
    <row r="7" spans="1:6" ht="23.25" customHeight="1" x14ac:dyDescent="0.25">
      <c r="A7" s="17" t="s">
        <v>85</v>
      </c>
      <c r="B7" s="44" t="s">
        <v>799</v>
      </c>
    </row>
    <row r="8" spans="1:6" ht="23.25" customHeight="1" x14ac:dyDescent="0.25">
      <c r="A8" s="20" t="s">
        <v>86</v>
      </c>
      <c r="B8" s="45" t="s">
        <v>834</v>
      </c>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t="s">
        <v>775</v>
      </c>
      <c r="B11" s="25">
        <v>6.4000000000000001E-2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0.86455415709972849</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6.4000000000000001E-2</v>
      </c>
      <c r="C28" s="39">
        <f>SUM(C11:C27)</f>
        <v>0.86455415709972849</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zoomScaleNormal="100" workbookViewId="0"/>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t="s">
        <v>775</v>
      </c>
      <c r="B5" s="25">
        <v>0.06</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0.81051952228099544</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0.06</v>
      </c>
      <c r="C22" s="54">
        <f>SUM(C5:C21)</f>
        <v>0.81051952228099544</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97</v>
      </c>
      <c r="B1" s="50"/>
      <c r="C1" s="50"/>
      <c r="D1" s="50"/>
    </row>
    <row r="2" spans="1:11" ht="409.6"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Normal="100" workbookViewId="0"/>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0.76</v>
      </c>
    </row>
    <row r="6" spans="1:4" ht="23.25" customHeight="1" x14ac:dyDescent="0.25">
      <c r="A6" s="17" t="s">
        <v>111</v>
      </c>
      <c r="B6" s="72">
        <f>IFERROR(Nutrients_from_future_land_use!C22-SuDS!G30-Nutrients_from_current_land_use!C28,0)</f>
        <v>-5.4034634818733052E-2</v>
      </c>
    </row>
    <row r="7" spans="1:4" ht="23.25" customHeight="1" x14ac:dyDescent="0.25">
      <c r="A7" s="17" t="s">
        <v>112</v>
      </c>
      <c r="B7" s="72">
        <f>IFERROR(B5+B6,0)</f>
        <v>0.70596536518126696</v>
      </c>
    </row>
    <row r="8" spans="1:4" ht="23.25" customHeight="1" x14ac:dyDescent="0.25">
      <c r="A8" s="17" t="s">
        <v>113</v>
      </c>
      <c r="B8" s="72">
        <f>IFERROR(IF(B7&lt;0,B7,B7*1.2),0)</f>
        <v>0.84715843821752035</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0.85</v>
      </c>
    </row>
    <row r="11" spans="1:4" ht="23.25" customHeight="1" x14ac:dyDescent="0.25">
      <c r="A11" s="76" t="str">
        <f>IF(Nutrients_from_wastewater!A20="Not applicable","Not applicable",LEFT(Nutrients_from_wastewater!A20,9)&amp;"nutrient budget")</f>
        <v>Pre-2030 nutrient budget</v>
      </c>
      <c r="B11" s="77"/>
    </row>
    <row r="12" spans="1:4" ht="23.25" customHeight="1" x14ac:dyDescent="0.25">
      <c r="A12" s="71" t="str">
        <f>IF(A11&lt;&gt;"Not applicable","The total annual nitrogen load to mitigate is (kg TN/yr):","Not applicable")</f>
        <v>The total annual nitrogen load to mitigate is (kg TN/yr):</v>
      </c>
      <c r="B12" s="73">
        <f>IF(IFERROR(ROUND((Nutrients_from_wastewater!B21+$B$6)*1.2,2),"Not applicable")&lt;0,0,IFERROR(ROUND((Nutrients_from_wastewater!B21+$B$6)*1.2,2),"Not applicable"))</f>
        <v>3.09</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 t="shared" si="2"/>
        <v>96.3</v>
      </c>
      <c r="D84" s="89"/>
      <c r="E84" s="89">
        <f t="shared" si="3"/>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15.462376557304816</v>
      </c>
      <c r="I608" s="89"/>
      <c r="J608" s="89"/>
      <c r="K608" s="89"/>
      <c r="L608" s="89"/>
      <c r="M608" s="111"/>
    </row>
    <row r="609" spans="1:13"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13.508658704683258</v>
      </c>
      <c r="I612" s="89"/>
      <c r="J612" s="89"/>
      <c r="K612" s="89"/>
      <c r="L612" s="89"/>
      <c r="M612" s="111"/>
    </row>
    <row r="613" spans="1:13" ht="30"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7.20461797583107</v>
      </c>
      <c r="I613" s="89"/>
      <c r="J613" s="89"/>
      <c r="K613" s="89"/>
      <c r="L613" s="89"/>
      <c r="M613" s="111"/>
    </row>
    <row r="614" spans="1:13"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7.9629988153922353</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0.9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B6C3ACDDB6185A42A543104DE85F9EA1" ma:contentTypeVersion="13" ma:contentTypeDescription="Create a new document." ma:contentTypeScope="" ma:versionID="e3dcca42c9f4c70e98c543ab7ff5ccd0">
  <xsd:schema xmlns:xsd="http://www.w3.org/2001/XMLSchema" xmlns:xs="http://www.w3.org/2001/XMLSchema" xmlns:p="http://schemas.microsoft.com/office/2006/metadata/properties" xmlns:ns2="23ace82f-669d-41d9-bc49-b2dabb47bc10" xmlns:ns3="d878a6f4-dbc9-4fba-bb90-fec1e71a8d5c" targetNamespace="http://schemas.microsoft.com/office/2006/metadata/properties" ma:root="true" ma:fieldsID="fad8c0455a0293a5a2f117511f3944ac" ns2:_="" ns3:_="">
    <xsd:import namespace="23ace82f-669d-41d9-bc49-b2dabb47bc10"/>
    <xsd:import namespace="d878a6f4-dbc9-4fba-bb90-fec1e71a8d5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ace82f-669d-41d9-bc49-b2dabb47bc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descrip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c8ee28a0-1700-475a-8a06-c8a7dafbf1c1"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878a6f4-dbc9-4fba-bb90-fec1e71a8d5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b8f1ab20-4ca0-48ce-9df4-92afcabe14af}" ma:internalName="TaxCatchAll" ma:showField="CatchAllData" ma:web="d878a6f4-dbc9-4fba-bb90-fec1e71a8d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d878a6f4-dbc9-4fba-bb90-fec1e71a8d5c" xsi:nil="true"/>
    <lcf76f155ced4ddcb4097134ff3c332f xmlns="23ace82f-669d-41d9-bc49-b2dabb47bc1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164B7205-7C95-4ED3-9A26-BCA3EFCD14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ace82f-669d-41d9-bc49-b2dabb47bc10"/>
    <ds:schemaRef ds:uri="d878a6f4-dbc9-4fba-bb90-fec1e71a8d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 ds:uri="d878a6f4-dbc9-4fba-bb90-fec1e71a8d5c"/>
    <ds:schemaRef ds:uri="23ace82f-669d-41d9-bc49-b2dabb47bc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Neil March</cp:lastModifiedBy>
  <cp:revision/>
  <dcterms:created xsi:type="dcterms:W3CDTF">2021-10-14T13:24:34Z</dcterms:created>
  <dcterms:modified xsi:type="dcterms:W3CDTF">2025-01-20T09:59:43Z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0x010100B6C3ACDDB6185A42A543104DE85F9EA1</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