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ttps://holmanreading.sharepoint.com/sites/HRPArchitects/Shared Documents/CAD production/9155 5 Fryern Close Chandlers Ford  Eastleigh SO53 2LF/"/>
    </mc:Choice>
  </mc:AlternateContent>
  <xr:revisionPtr revIDLastSave="0" documentId="8_{D7D59B98-AD38-4E9E-863D-6E75A46BDEEE}"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20" yWindow="-120" windowWidth="29040" windowHeight="1584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<sst xmlns="http://schemas.openxmlformats.org/spreadsheetml/2006/main" count="646" uniqueCount="252">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</sst>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8" zoomScaleNormal="100" workbookViewId="0">
      <selection activeCell="B10" sqref="B10"/>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v>46054</v>
      </c>
      <c r="C5" s="49"/>
    </row>
    <row r="6" spans="1:3" ht="18.75" customHeight="1" x14ac:dyDescent="0.2">
      <c r="A6" s="3" t="s">
        <v>69</v>
      </c>
      <c r="B6" s="17">
        <v>2.4</v>
      </c>
      <c r="C6" s="49"/>
    </row>
    <row r="7" spans="1:3" ht="18.75" customHeight="1" x14ac:dyDescent="0.2">
      <c r="A7" s="3" t="s">
        <v>70</v>
      </c>
      <c r="B7" s="18">
        <v>120</v>
      </c>
      <c r="C7" s="49"/>
    </row>
    <row r="8" spans="1:3" ht="18.75" customHeight="1" x14ac:dyDescent="0.2">
      <c r="A8" s="3" t="s">
        <v>71</v>
      </c>
      <c r="B8" s="18">
        <v>1</v>
      </c>
      <c r="C8" s="49"/>
    </row>
    <row r="9" spans="1:3" ht="18.75" customHeight="1" x14ac:dyDescent="0.2">
      <c r="A9" s="3" t="s">
        <v>72</v>
      </c>
      <c r="B9" s="18" t="s">
        <v>244</v>
      </c>
      <c r="C9" s="49"/>
    </row>
    <row r="10" spans="1:3" ht="45" customHeight="1" x14ac:dyDescent="0.2">
      <c r="A10" s="3" t="s">
        <v>73</v>
      </c>
      <c r="B10" s="18" t="s">
        <v>139</v>
      </c>
      <c r="C10" s="49"/>
    </row>
    <row r="11" spans="1:3" ht="45" customHeight="1" x14ac:dyDescent="0.2">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
      <c r="A20" s="3" t="s">
        <v>79</v>
      </c>
      <c r="B20" s="55">
        <f>IF(ISBLANK(B8),0,B6*B8)</f>
        <v>2.4</v>
      </c>
    </row>
    <row r="21" spans="1:3" ht="18.75" customHeight="1" x14ac:dyDescent="0.2">
      <c r="A21" s="3" t="s">
        <v>80</v>
      </c>
      <c r="B21" s="56">
        <f>IFERROR(B20*B7,0)</f>
        <v>288</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0.95</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2.84</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1" zoomScaleNormal="100" workbookViewId="0">
      <selection activeCell="E9" sqref="E9"/>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233</v>
      </c>
      <c r="C6" s="28"/>
    </row>
    <row r="7" spans="1:7" ht="23.25" customHeight="1" x14ac:dyDescent="0.25">
      <c r="A7" s="26" t="s">
        <v>87</v>
      </c>
      <c r="B7" s="31" t="s">
        <v>209</v>
      </c>
      <c r="C7" s="28"/>
    </row>
    <row r="8" spans="1:7" ht="23.25" customHeight="1" x14ac:dyDescent="0.25">
      <c r="A8" s="32" t="s">
        <v>88</v>
      </c>
      <c r="B8" s="33" t="s">
        <v>244</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184</v>
      </c>
      <c r="B11" s="35">
        <v>0.26</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0.37712386721762647</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3.5122512632176472</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0.26</v>
      </c>
      <c r="C28" s="38">
        <f>SUM(C11:C27)</f>
        <v>0.37712386721762647</v>
      </c>
      <c r="D28" s="38">
        <f>SUM(D11:D27)</f>
        <v>3.5122512632176472</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30" zoomScaleNormal="100" workbookViewId="0">
      <selection activeCell="M6" sqref="M6"/>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184</v>
      </c>
      <c r="B5" s="35">
        <v>0.26</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0.37712386721762647</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3.5122512632176472</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0.26</v>
      </c>
      <c r="C22" s="45">
        <f>SUM(C5:C21)</f>
        <v>0.37712386721762647</v>
      </c>
      <c r="D22" s="45">
        <f>SUM(D5:D21)</f>
        <v>3.5122512632176472</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3" zoomScaleNormal="100" workbookViewId="0"/>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zoomScaleNormal="100" workbookViewId="0"/>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0.02</v>
      </c>
    </row>
    <row r="6" spans="1:2" ht="22.5" customHeight="1" x14ac:dyDescent="0.25">
      <c r="A6" s="26" t="s">
        <v>118</v>
      </c>
      <c r="B6" s="52">
        <f>IFERROR(Nutrients_from_future_land_use!C22-SuDS!I30-Nutrients_from_current_land_use!C28,0)</f>
        <v>0</v>
      </c>
    </row>
    <row r="7" spans="1:2" ht="22.5" customHeight="1" x14ac:dyDescent="0.25">
      <c r="A7" s="26" t="s">
        <v>119</v>
      </c>
      <c r="B7" s="51">
        <f>IFERROR(B5+B6,0)</f>
        <v>0.02</v>
      </c>
    </row>
    <row r="8" spans="1:2" ht="22.5" customHeight="1" x14ac:dyDescent="0.25">
      <c r="A8" s="26" t="s">
        <v>120</v>
      </c>
      <c r="B8" s="51">
        <f>IFERROR(B7*1.2,0)</f>
        <v>2.4E-2</v>
      </c>
    </row>
    <row r="9" spans="1:2" ht="22.5" customHeight="1" x14ac:dyDescent="0.25">
      <c r="A9" s="26" t="s">
        <v>121</v>
      </c>
      <c r="B9" s="51">
        <f>Nutrients_from_wastewater!B23</f>
        <v>0.95</v>
      </c>
    </row>
    <row r="10" spans="1:2" ht="22.5" customHeight="1" x14ac:dyDescent="0.25">
      <c r="A10" s="26" t="s">
        <v>122</v>
      </c>
      <c r="B10" s="51">
        <f>IFERROR(Nutrients_from_future_land_use!D22-SuDS!J30-Nutrients_from_current_land_use!D28,0)</f>
        <v>0</v>
      </c>
    </row>
    <row r="11" spans="1:2" ht="22.5" customHeight="1" x14ac:dyDescent="0.25">
      <c r="A11" s="26" t="s">
        <v>123</v>
      </c>
      <c r="B11" s="51">
        <f>IFERROR(B9+B10,0)</f>
        <v>0.95</v>
      </c>
    </row>
    <row r="12" spans="1:2" ht="22.5" customHeight="1" x14ac:dyDescent="0.25">
      <c r="A12" s="26" t="s">
        <v>124</v>
      </c>
      <c r="B12" s="51">
        <f>IFERROR(B11*1.2,0)</f>
        <v>1.1399999999999999</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125</v>
      </c>
      <c r="B14" s="51">
        <f>IFERROR(IF(ROUND(B8,2)&lt;0,0,ROUND(B8,2)),0)</f>
        <v>0.02</v>
      </c>
    </row>
    <row r="15" spans="1:2" ht="22.5" customHeight="1" x14ac:dyDescent="0.25">
      <c r="A15" s="26" t="s">
        <v>126</v>
      </c>
      <c r="B15" s="51">
        <f>IFERROR(IF(ROUND(B12,2)&lt;0,0,ROUND(B12,2)),0)</f>
        <v>1.1399999999999999</v>
      </c>
    </row>
    <row r="16" spans="1:2" ht="22.5" customHeight="1" x14ac:dyDescent="0.25">
      <c r="A16" s="53" t="str">
        <f>IF(Nutrients_from_wastewater!A24="Not applicable","Not applicable",LEFT(Nutrients_from_wastewater!A24,9)&amp;"nutrient budget")</f>
        <v>Pre-2030 nutrient budget</v>
      </c>
      <c r="B16" s="54"/>
    </row>
    <row r="17" spans="1:3" ht="22.5" customHeight="1" x14ac:dyDescent="0.25">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25">
      <c r="A18" s="26" t="str">
        <f>IF(A16&lt;&gt;"Not applicable","The total annual nitrogen load to mitigate is (kg TN/yr):","Not applicable")</f>
        <v>The total annual nitrogen load to mitigate is (kg TN/yr):</v>
      </c>
      <c r="B18" s="51">
        <f>IFERROR(ROUND((Nutrients_from_wastewater!B26+$B$10)*1.2,2),"Not applicable")</f>
        <v>3.41</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734599aa-9f42-416b-aeeb-4c00d21d3d7a">
      <Value>9</Value>
      <Value>15</Value>
      <Value>3</Value>
      <Value>2</Value>
      <Value>1</Value>
    </TaxCatchAll>
    <lcf76f155ced4ddcb4097134ff3c332f xmlns="56f9fa1d-0650-41c5-854f-21f8d47d27fe">
      <Terms xmlns="http://schemas.microsoft.com/office/infopath/2007/PartnerControls"/>
    </lcf76f155ced4ddcb4097134ff3c332f>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55836D0EE2173249A2636CBBD0E36DC0" ma:contentTypeVersion="13" ma:contentTypeDescription="Create a new document." ma:contentTypeScope="" ma:versionID="e9a236f52bdf2eafd4a7d926fa2b28e8">
  <xsd:schema xmlns:xsd="http://www.w3.org/2001/XMLSchema" xmlns:xs="http://www.w3.org/2001/XMLSchema" xmlns:p="http://schemas.microsoft.com/office/2006/metadata/properties" xmlns:ns2="56f9fa1d-0650-41c5-854f-21f8d47d27fe" xmlns:ns3="734599aa-9f42-416b-aeeb-4c00d21d3d7a" targetNamespace="http://schemas.microsoft.com/office/2006/metadata/properties" ma:root="true" ma:fieldsID="c2e62bccf80832027a1818703c29365c" ns2:_="" ns3:_="">
    <xsd:import namespace="56f9fa1d-0650-41c5-854f-21f8d47d27fe"/>
    <xsd:import namespace="734599aa-9f42-416b-aeeb-4c00d21d3d7a"/>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f9fa1d-0650-41c5-854f-21f8d47d27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6c1969b-3cef-40c7-a36e-fd5ae604a8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599aa-9f42-416b-aeeb-4c00d21d3d7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eb11a0f-fde0-44e9-a244-8bb63ce8cf63}" ma:internalName="TaxCatchAll" ma:showField="CatchAllData" ma:web="734599aa-9f42-416b-aeeb-4c00d21d3d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72D2E0D-8EF9-4B2D-A7EC-3FEA317B18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Mark Holman</cp:lastModifiedBy>
  <cp:revision/>
  <dcterms:created xsi:type="dcterms:W3CDTF">2021-10-14T13:24:34Z</dcterms:created>
  <dcterms:modified xsi:type="dcterms:W3CDTF">2025-05-22T09:33:36Z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0x01010055836D0EE2173249A2636CBBD0E36DC0</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