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Business/Manderley Homes/Meller house/Application Plans/subsequent plans sent/"/>
    </mc:Choice>
  </mc:AlternateContent>
  <xr:revisionPtr revIDLastSave="5" documentId="8_{7A2EEA2B-E30A-409C-AE22-E63D630193FB}" xr6:coauthVersionLast="47" xr6:coauthVersionMax="47" xr10:uidLastSave="{D3FB0DC1-0521-4B01-B5EC-386A3DFC0AE0}"/>
  <workbookProtection workbookAlgorithmName="SHA-512" workbookHashValue="ci5dpr45OXD+YAr7abqqvHh5mGtj5llWo0zR7ylkpmcTEFyPlq58BMtGz7CZpyqkZ6LSGvukgTuCns3N9jXiYw==" workbookSaltValue="0Ky0H2B/WjNkoc1UurlgwA==" workbookSpinCount="100000" lockStructure="1"/>
  <bookViews>
    <workbookView xWindow="20370" yWindow="-120" windowWidth="20730" windowHeight="11760" tabRatio="801" firstSheet="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<sst xmlns="http://schemas.openxmlformats.org/spreadsheetml/2006/main" count="3028" uniqueCount="845">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</sst>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61" zoomScaleNormal="100" workbookViewId="0">
      <selection activeCell="B43" sqref="B43"/>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3" zoomScaleNormal="100" workbookViewId="0">
      <selection activeCell="A8" sqref="A8"/>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45992</v>
      </c>
      <c r="C5" s="80"/>
    </row>
    <row r="6" spans="1:4" ht="15.75" x14ac:dyDescent="0.25">
      <c r="A6" s="8" t="s">
        <v>71</v>
      </c>
      <c r="B6" s="15">
        <v>2.4</v>
      </c>
      <c r="C6" s="80"/>
    </row>
    <row r="7" spans="1:4" ht="15.75" x14ac:dyDescent="0.25">
      <c r="A7" s="8" t="s">
        <v>72</v>
      </c>
      <c r="B7" s="39">
        <v>90</v>
      </c>
      <c r="C7" s="80"/>
    </row>
    <row r="8" spans="1:4" ht="123.95" customHeight="1" x14ac:dyDescent="0.25">
      <c r="A8" s="8" t="s">
        <v>73</v>
      </c>
      <c r="B8" s="39">
        <v>9</v>
      </c>
      <c r="C8" s="80"/>
    </row>
    <row r="9" spans="1:4" ht="15.75" x14ac:dyDescent="0.25">
      <c r="A9" s="8" t="s">
        <v>74</v>
      </c>
      <c r="B9" s="39" t="s">
        <v>90</v>
      </c>
      <c r="C9" s="80"/>
    </row>
    <row r="10" spans="1:4" ht="30.75" customHeight="1" x14ac:dyDescent="0.25">
      <c r="A10" s="8" t="s">
        <v>75</v>
      </c>
      <c r="B10" s="39" t="s">
        <v>147</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25</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Post 2030 WwTW N permit (mg TN/litre):</v>
      </c>
      <c r="B13" s="16">
        <f>IFERROR(IF(AND($B$5&lt;DATE(2030,4,1),(VLOOKUP($B$10,Value_look_up_tables!$A$5:$J$84,5,FALSE))&gt;(VLOOKUP($B$10,Value_look_up_tables!$A$5:$J$84,9,FALSE))), IF(B9="Yes",VLOOKUP(B10,Value_look_up_tables!$A$5:$J$87,10,FALSE),VLOOKUP(B10,Value_look_up_tables!$A$5:$J$87,9,FALSE)),""),"")</f>
        <v>8</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Post-2030 Stage 1 Nutrient Loading</v>
      </c>
      <c r="B16" s="76"/>
    </row>
    <row r="17" spans="1:2" ht="15.75" x14ac:dyDescent="0.25">
      <c r="A17" s="6" t="s">
        <v>80</v>
      </c>
      <c r="B17" s="43">
        <f>IF(ISBLANK(B8),"",B6*B8)</f>
        <v>21.599999999999998</v>
      </c>
    </row>
    <row r="18" spans="1:2" ht="15.75" x14ac:dyDescent="0.25">
      <c r="A18" s="7" t="s">
        <v>81</v>
      </c>
      <c r="B18" s="16">
        <f>IFERROR(B17*B7,"")</f>
        <v>1943.9999999999998</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5.1100000000000003</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Pre-2030 Stage 1 Nutrient Loading</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Annual wastewater TN load (kg TN/yr):</v>
      </c>
      <c r="B21" s="45">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15.98</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9" sqref="C9"/>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445</v>
      </c>
      <c r="F5" s="92"/>
    </row>
    <row r="6" spans="1:6" ht="23.25" customHeight="1" x14ac:dyDescent="0.25">
      <c r="A6" s="8" t="s">
        <v>87</v>
      </c>
      <c r="B6" s="22" t="s">
        <v>835</v>
      </c>
    </row>
    <row r="7" spans="1:6" ht="23.25" customHeight="1" x14ac:dyDescent="0.25">
      <c r="A7" s="8" t="s">
        <v>88</v>
      </c>
      <c r="B7" s="23" t="s">
        <v>802</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0.1</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1.3508658704683258</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0.1</v>
      </c>
      <c r="C28" s="17">
        <f>SUM(C11:C27)</f>
        <v>1.3508658704683258</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C5" sqref="C5"/>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0.1</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1.3508658704683258</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0.1</v>
      </c>
      <c r="C22" s="31">
        <f>SUM(C5:C21)</f>
        <v>1.3508658704683258</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C5" sqref="C5"/>
    </sheetView>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5.1100000000000003</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5.1100000000000003</v>
      </c>
    </row>
    <row r="8" spans="1:4" ht="22.5" customHeight="1" x14ac:dyDescent="0.25">
      <c r="A8" s="8" t="s">
        <v>116</v>
      </c>
      <c r="B8" s="50">
        <f>IFERROR(IF(B7&lt;0,B7,B7*1.2),"")</f>
        <v>6.1320000000000006</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6.13</v>
      </c>
    </row>
    <row r="11" spans="1:4" ht="22.5" customHeight="1" x14ac:dyDescent="0.25">
      <c r="A11" s="49" t="str">
        <f>IF(Nutrients_from_wastewater!A20="","",LEFT(Nutrients_from_wastewater!A20,9)&amp;"Nutrient Budget")</f>
        <v>Pre-2030 Nutrient Budget</v>
      </c>
      <c r="B11" s="73"/>
    </row>
    <row r="12" spans="1:4" ht="22.5" customHeight="1" x14ac:dyDescent="0.25">
      <c r="A12" s="30" t="str">
        <f>IF(A11&lt;&gt;"","The total annual nitrogen load to mitigate is (kg TN/yr):","")</f>
        <v>The total annual nitrogen load to mitigate is (kg TN/yr):</v>
      </c>
      <c r="B12" s="83">
        <f>IF(IFERROR(ROUND((Nutrients_from_wastewater!B21+$B$6)*1.2,2),"")&lt;0,0,IFERROR(ROUND((Nutrients_from_wastewater!B21+$B$6)*1.2,2),""))</f>
        <v>19.18</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13.508658704683258</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7.20461797583107</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7.9629988153922353</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6395F272-F6BB-4ABC-8F8C-89B32E327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cbfa44ef-137d-4ac8-be06-98fc5ff344ef"/>
    <ds:schemaRef ds:uri="c3534efc-f0db-4560-9b29-2e155aba9e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KAD Admin</cp:lastModifiedBy>
  <cp:revision/>
  <dcterms:created xsi:type="dcterms:W3CDTF">2021-10-14T13:24:34Z</dcterms:created>
  <dcterms:modified xsi:type="dcterms:W3CDTF">2025-06-04T11:59:18Z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