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updateLinks="never" defaultThemeVersion="166925"/>
  <mc:AlternateContent xmlns:mc="http://schemas.openxmlformats.org/markup-compatibility/2006">
    <mc:Choice Requires="x15">
      <x15ac:absPath xmlns:x15ac="http://schemas.microsoft.com/office/spreadsheetml/2010/11/ac" url="https://edpukltd-my.sharepoint.com/personal/michael_neep_edp-uk_co_uk/Documents/Documents/workingfiles/unionsquare.edp-uk.co.uk/"/>
    </mc:Choice>
  </mc:AlternateContent>
  <xr:revisionPtr revIDLastSave="42" documentId="8_{ECB4C5AE-091C-4FCE-A35E-FF0A76BE29B3}" xr6:coauthVersionLast="47" xr6:coauthVersionMax="47" xr10:uidLastSave="{4FBDF5D0-E82C-4B6F-AAA7-68BFB32CB06D}"/>
  <workbookProtection workbookAlgorithmName="SHA-512" workbookHashValue="hgjxPgkVl/vP2VM+yWKAJkgIEgsX9pL+nZ8Jo4DYQV1VUuAVHruC8jKMfif8oC1RS9bQx5BmzD8TN/1Fk0x2gg==" workbookSaltValue="Matiwx7Kl39yOs6ytVEBjA==" workbookSpinCount="100000" lockStructure="1"/>
  <bookViews>
    <workbookView xWindow="-108" yWindow="-108" windowWidth="23256" windowHeight="12456" tabRatio="806" activeTab="5" xr2:uid="{82A04952-E2FF-4A89-87AE-39010027FF5F}"/>
  </bookViews>
  <sheets>
    <sheet name="Instructions"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9" i="21" l="1"/>
  <c r="A28" i="21"/>
  <c r="A26" i="21"/>
  <c r="A25" i="21"/>
  <c r="A24" i="21"/>
  <c r="A19" i="21"/>
  <c r="C6" i="9" l="1"/>
  <c r="D6" i="9"/>
  <c r="C7" i="9"/>
  <c r="D7" i="9"/>
  <c r="C8" i="9"/>
  <c r="D8" i="9"/>
  <c r="C9" i="9"/>
  <c r="D9" i="9"/>
  <c r="C10" i="9"/>
  <c r="D10" i="9"/>
  <c r="C11" i="9"/>
  <c r="D11" i="9"/>
  <c r="C12" i="9"/>
  <c r="D12" i="9"/>
  <c r="C13" i="9"/>
  <c r="D13" i="9"/>
  <c r="C14" i="9"/>
  <c r="D14" i="9"/>
  <c r="C15" i="9"/>
  <c r="D15" i="9"/>
  <c r="C16" i="9"/>
  <c r="D16" i="9"/>
  <c r="C17" i="9"/>
  <c r="D17" i="9"/>
  <c r="C18" i="9"/>
  <c r="D18" i="9"/>
  <c r="C19" i="9"/>
  <c r="D19" i="9"/>
  <c r="C20" i="9"/>
  <c r="D20" i="9"/>
  <c r="C21" i="9"/>
  <c r="D21" i="9"/>
  <c r="D5" i="9"/>
  <c r="C5" i="9"/>
  <c r="A13" i="10"/>
  <c r="B11" i="21" l="1"/>
  <c r="B12" i="21"/>
  <c r="B20" i="21"/>
  <c r="B21" i="21" s="1"/>
  <c r="B16" i="21"/>
  <c r="B15" i="21"/>
  <c r="B14" i="21"/>
  <c r="B13" i="21"/>
  <c r="A16" i="21"/>
  <c r="A15" i="21"/>
  <c r="A14" i="21"/>
  <c r="A13" i="21"/>
  <c r="I6" i="22"/>
  <c r="J6" i="22"/>
  <c r="I7" i="22"/>
  <c r="J7" i="22"/>
  <c r="I8" i="22"/>
  <c r="J8" i="22"/>
  <c r="I9" i="22"/>
  <c r="J9" i="22"/>
  <c r="I10" i="22"/>
  <c r="J10" i="22"/>
  <c r="I11" i="22"/>
  <c r="J11" i="22"/>
  <c r="I12" i="22"/>
  <c r="J12" i="22"/>
  <c r="I13" i="22"/>
  <c r="J13" i="22"/>
  <c r="I14" i="22"/>
  <c r="J14" i="22"/>
  <c r="I15" i="22"/>
  <c r="J15" i="22"/>
  <c r="I16" i="22"/>
  <c r="J16" i="22"/>
  <c r="I17" i="22"/>
  <c r="J17" i="22"/>
  <c r="I18" i="22"/>
  <c r="J18" i="22"/>
  <c r="I19" i="22"/>
  <c r="J19" i="22"/>
  <c r="I20" i="22"/>
  <c r="J20" i="22"/>
  <c r="I21" i="22"/>
  <c r="J21" i="22"/>
  <c r="I22" i="22"/>
  <c r="J22" i="22"/>
  <c r="I23" i="22"/>
  <c r="J23" i="22"/>
  <c r="I24" i="22"/>
  <c r="J24" i="22"/>
  <c r="I25" i="22"/>
  <c r="J25" i="22"/>
  <c r="I26" i="22"/>
  <c r="J26" i="22"/>
  <c r="I27" i="22"/>
  <c r="J27" i="22"/>
  <c r="I28" i="22"/>
  <c r="J28" i="22"/>
  <c r="I29" i="22"/>
  <c r="J29" i="22"/>
  <c r="K5" i="22"/>
  <c r="K6" i="22"/>
  <c r="K7" i="22"/>
  <c r="K8" i="22"/>
  <c r="K9" i="22"/>
  <c r="K10" i="22"/>
  <c r="K11" i="22"/>
  <c r="K12" i="22"/>
  <c r="K13" i="22"/>
  <c r="K14" i="22"/>
  <c r="K15" i="22"/>
  <c r="K16" i="22"/>
  <c r="K17" i="22"/>
  <c r="K18" i="22"/>
  <c r="K19" i="22"/>
  <c r="K20" i="22"/>
  <c r="K21" i="22"/>
  <c r="K22" i="22"/>
  <c r="K23" i="22"/>
  <c r="K24" i="22"/>
  <c r="K25" i="22"/>
  <c r="K26" i="22"/>
  <c r="K27" i="22"/>
  <c r="K28" i="22"/>
  <c r="K29" i="22"/>
  <c r="D6" i="22"/>
  <c r="E6" i="22"/>
  <c r="D7" i="22"/>
  <c r="E7" i="22"/>
  <c r="D8" i="22"/>
  <c r="E8" i="22"/>
  <c r="D9" i="22"/>
  <c r="E9" i="22"/>
  <c r="D10" i="22"/>
  <c r="E10" i="22"/>
  <c r="D11" i="22"/>
  <c r="E11" i="22"/>
  <c r="D12" i="22"/>
  <c r="E12" i="22"/>
  <c r="D13" i="22"/>
  <c r="E13" i="22"/>
  <c r="D14" i="22"/>
  <c r="E14" i="22"/>
  <c r="D15" i="22"/>
  <c r="E15" i="22"/>
  <c r="D16" i="22"/>
  <c r="E16" i="22"/>
  <c r="D17" i="22"/>
  <c r="E17" i="22"/>
  <c r="D18" i="22"/>
  <c r="E18" i="22"/>
  <c r="D19" i="22"/>
  <c r="E19" i="22"/>
  <c r="D20" i="22"/>
  <c r="E20" i="22"/>
  <c r="D21" i="22"/>
  <c r="E21" i="22"/>
  <c r="D22" i="22"/>
  <c r="E22" i="22"/>
  <c r="D23" i="22"/>
  <c r="E23" i="22"/>
  <c r="D24" i="22"/>
  <c r="E24" i="22"/>
  <c r="D25" i="22"/>
  <c r="E25" i="22"/>
  <c r="D26" i="22"/>
  <c r="E26" i="22"/>
  <c r="D27" i="22"/>
  <c r="E27" i="22"/>
  <c r="D28" i="22"/>
  <c r="E28" i="22"/>
  <c r="D29" i="22"/>
  <c r="E29" i="22"/>
  <c r="E5" i="22"/>
  <c r="J5" i="22" s="1"/>
  <c r="D5" i="22"/>
  <c r="I5" i="22" s="1"/>
  <c r="C12" i="8"/>
  <c r="D12" i="8"/>
  <c r="C13" i="8"/>
  <c r="D13" i="8"/>
  <c r="C14" i="8"/>
  <c r="D14" i="8"/>
  <c r="C15" i="8"/>
  <c r="D15" i="8"/>
  <c r="C16" i="8"/>
  <c r="D16" i="8"/>
  <c r="C17" i="8"/>
  <c r="D17" i="8"/>
  <c r="C18" i="8"/>
  <c r="D18" i="8"/>
  <c r="C19" i="8"/>
  <c r="D19" i="8"/>
  <c r="C20" i="8"/>
  <c r="D20" i="8"/>
  <c r="C21" i="8"/>
  <c r="D21" i="8"/>
  <c r="C22" i="8"/>
  <c r="D22" i="8"/>
  <c r="C23" i="8"/>
  <c r="D23" i="8"/>
  <c r="C24" i="8"/>
  <c r="D24" i="8"/>
  <c r="C25" i="8"/>
  <c r="D25" i="8"/>
  <c r="C26" i="8"/>
  <c r="D26" i="8"/>
  <c r="C27" i="8"/>
  <c r="D27" i="8"/>
  <c r="D11" i="8"/>
  <c r="C11" i="8"/>
  <c r="E12" i="8"/>
  <c r="E13" i="8"/>
  <c r="E14" i="8"/>
  <c r="E15" i="8"/>
  <c r="E16" i="8"/>
  <c r="E17" i="8"/>
  <c r="E18" i="8"/>
  <c r="E19" i="8"/>
  <c r="E20" i="8"/>
  <c r="E21" i="8"/>
  <c r="E22" i="8"/>
  <c r="E23" i="8"/>
  <c r="E24" i="8"/>
  <c r="E25" i="8"/>
  <c r="E26" i="8"/>
  <c r="E27" i="8"/>
  <c r="E11" i="8"/>
  <c r="B23" i="21" l="1"/>
  <c r="B25" i="21"/>
  <c r="B28" i="21"/>
  <c r="B26" i="21"/>
  <c r="B29" i="21" s="1"/>
  <c r="A16" i="10"/>
  <c r="A17" i="10" s="1"/>
  <c r="B22" i="21"/>
  <c r="D28" i="8"/>
  <c r="C28" i="8"/>
  <c r="A27" i="21" l="1"/>
  <c r="A19" i="10" s="1"/>
  <c r="A18" i="10"/>
  <c r="A184" i="3" a="1"/>
  <c r="A184" i="3" s="1"/>
  <c r="B30" i="22" l="1"/>
  <c r="A21" i="10" l="1"/>
  <c r="A20" i="10"/>
  <c r="I10" i="3"/>
  <c r="I9" i="3"/>
  <c r="E6" i="3" l="1"/>
  <c r="E9" i="3"/>
  <c r="E10" i="3"/>
  <c r="H97" i="3" l="1"/>
  <c r="H96" i="3"/>
  <c r="G97" i="3"/>
  <c r="G96" i="3"/>
  <c r="H95" i="3"/>
  <c r="G95" i="3"/>
  <c r="B5" i="10" l="1"/>
  <c r="F97" i="3"/>
  <c r="F96" i="3"/>
  <c r="F95" i="3"/>
  <c r="F94" i="3"/>
  <c r="F93" i="3"/>
  <c r="F92" i="3"/>
  <c r="F91" i="3"/>
  <c r="F90" i="3"/>
  <c r="K89" i="3"/>
  <c r="J89" i="3"/>
  <c r="I89" i="3"/>
  <c r="F89" i="3"/>
  <c r="K88" i="3"/>
  <c r="J88" i="3"/>
  <c r="I88" i="3"/>
  <c r="F88" i="3"/>
  <c r="K87" i="3"/>
  <c r="J87" i="3"/>
  <c r="I87" i="3"/>
  <c r="F87" i="3"/>
  <c r="K86" i="3"/>
  <c r="J86" i="3"/>
  <c r="I86" i="3"/>
  <c r="F86" i="3"/>
  <c r="K85" i="3"/>
  <c r="J85" i="3"/>
  <c r="I85" i="3"/>
  <c r="F85" i="3"/>
  <c r="K84" i="3"/>
  <c r="J84" i="3"/>
  <c r="I84" i="3"/>
  <c r="F84" i="3"/>
  <c r="K83" i="3"/>
  <c r="J83" i="3"/>
  <c r="I83" i="3"/>
  <c r="F83" i="3"/>
  <c r="K82" i="3"/>
  <c r="J82" i="3"/>
  <c r="I82" i="3"/>
  <c r="F82" i="3"/>
  <c r="K81" i="3"/>
  <c r="J81" i="3"/>
  <c r="I81" i="3"/>
  <c r="F81" i="3"/>
  <c r="K80" i="3"/>
  <c r="J80" i="3"/>
  <c r="I80" i="3"/>
  <c r="F80" i="3"/>
  <c r="K79" i="3"/>
  <c r="J79" i="3"/>
  <c r="I79" i="3"/>
  <c r="F79" i="3"/>
  <c r="K78" i="3"/>
  <c r="J78" i="3"/>
  <c r="I78" i="3"/>
  <c r="F78" i="3"/>
  <c r="K77" i="3"/>
  <c r="J77" i="3"/>
  <c r="I77" i="3"/>
  <c r="F77" i="3"/>
  <c r="K76" i="3"/>
  <c r="J76" i="3"/>
  <c r="I76" i="3"/>
  <c r="F76" i="3"/>
  <c r="K75" i="3"/>
  <c r="J75" i="3"/>
  <c r="I75" i="3"/>
  <c r="F75" i="3"/>
  <c r="K74" i="3"/>
  <c r="J74" i="3"/>
  <c r="I74" i="3"/>
  <c r="F74" i="3"/>
  <c r="K73" i="3"/>
  <c r="J73" i="3"/>
  <c r="I73" i="3"/>
  <c r="F73" i="3"/>
  <c r="K72" i="3"/>
  <c r="J72" i="3"/>
  <c r="I72" i="3"/>
  <c r="F72" i="3"/>
  <c r="K71" i="3"/>
  <c r="J71" i="3"/>
  <c r="I71" i="3"/>
  <c r="F71" i="3"/>
  <c r="K70" i="3"/>
  <c r="J70" i="3"/>
  <c r="I70" i="3"/>
  <c r="F70" i="3"/>
  <c r="K69" i="3"/>
  <c r="J69" i="3"/>
  <c r="I69" i="3"/>
  <c r="F69" i="3"/>
  <c r="K68" i="3"/>
  <c r="J68" i="3"/>
  <c r="I68" i="3"/>
  <c r="F68" i="3"/>
  <c r="K67" i="3"/>
  <c r="J67" i="3"/>
  <c r="I67" i="3"/>
  <c r="F67" i="3"/>
  <c r="K66" i="3"/>
  <c r="J66" i="3"/>
  <c r="I66" i="3"/>
  <c r="F66" i="3"/>
  <c r="K65" i="3"/>
  <c r="J65" i="3"/>
  <c r="I65" i="3"/>
  <c r="F65" i="3"/>
  <c r="K64" i="3"/>
  <c r="J64" i="3"/>
  <c r="I64" i="3"/>
  <c r="F64" i="3"/>
  <c r="K63" i="3"/>
  <c r="J63" i="3"/>
  <c r="I63" i="3"/>
  <c r="F63" i="3"/>
  <c r="K62" i="3"/>
  <c r="J62" i="3"/>
  <c r="I62" i="3"/>
  <c r="F62" i="3"/>
  <c r="K61" i="3"/>
  <c r="J61" i="3"/>
  <c r="I61" i="3"/>
  <c r="F61" i="3"/>
  <c r="K60" i="3"/>
  <c r="J60" i="3"/>
  <c r="I60" i="3"/>
  <c r="F60" i="3"/>
  <c r="K59" i="3"/>
  <c r="J59" i="3"/>
  <c r="I59" i="3"/>
  <c r="F59" i="3"/>
  <c r="K58" i="3"/>
  <c r="J58" i="3"/>
  <c r="I58" i="3"/>
  <c r="F58" i="3"/>
  <c r="K57" i="3"/>
  <c r="J57" i="3"/>
  <c r="I57" i="3"/>
  <c r="F57" i="3"/>
  <c r="K56" i="3"/>
  <c r="J56" i="3"/>
  <c r="I56" i="3"/>
  <c r="F56" i="3"/>
  <c r="K55" i="3"/>
  <c r="J55" i="3"/>
  <c r="I55" i="3"/>
  <c r="F55" i="3"/>
  <c r="M54" i="3"/>
  <c r="L54" i="3"/>
  <c r="K54" i="3"/>
  <c r="J54" i="3"/>
  <c r="I54" i="3"/>
  <c r="F54" i="3"/>
  <c r="K53" i="3"/>
  <c r="J53" i="3"/>
  <c r="I53" i="3"/>
  <c r="F53" i="3"/>
  <c r="K52" i="3"/>
  <c r="J52" i="3"/>
  <c r="I52" i="3"/>
  <c r="F52" i="3"/>
  <c r="K51" i="3"/>
  <c r="J51" i="3"/>
  <c r="I51" i="3"/>
  <c r="F51" i="3"/>
  <c r="K50" i="3"/>
  <c r="J50" i="3"/>
  <c r="I50" i="3"/>
  <c r="F50" i="3"/>
  <c r="K49" i="3"/>
  <c r="J49" i="3"/>
  <c r="I49" i="3"/>
  <c r="F49" i="3"/>
  <c r="K48" i="3"/>
  <c r="J48" i="3"/>
  <c r="I48" i="3"/>
  <c r="F48" i="3"/>
  <c r="K47" i="3"/>
  <c r="J47" i="3"/>
  <c r="I47" i="3"/>
  <c r="F47" i="3"/>
  <c r="K46" i="3"/>
  <c r="J46" i="3"/>
  <c r="I46" i="3"/>
  <c r="F46" i="3"/>
  <c r="K45" i="3"/>
  <c r="J45" i="3"/>
  <c r="I45" i="3"/>
  <c r="F45" i="3"/>
  <c r="K44" i="3"/>
  <c r="J44" i="3"/>
  <c r="I44" i="3"/>
  <c r="F44" i="3"/>
  <c r="K43" i="3"/>
  <c r="J43" i="3"/>
  <c r="I43" i="3"/>
  <c r="F43" i="3"/>
  <c r="K42" i="3"/>
  <c r="J42" i="3"/>
  <c r="I42" i="3"/>
  <c r="F42" i="3"/>
  <c r="K41" i="3"/>
  <c r="J41" i="3"/>
  <c r="I41" i="3"/>
  <c r="F41" i="3"/>
  <c r="K40" i="3"/>
  <c r="J40" i="3"/>
  <c r="I40" i="3"/>
  <c r="F40" i="3"/>
  <c r="K39" i="3"/>
  <c r="J39" i="3"/>
  <c r="I39" i="3"/>
  <c r="F39" i="3"/>
  <c r="K38" i="3"/>
  <c r="J38" i="3"/>
  <c r="I38" i="3"/>
  <c r="F38" i="3"/>
  <c r="M37" i="3"/>
  <c r="L37" i="3"/>
  <c r="K37" i="3"/>
  <c r="J37" i="3"/>
  <c r="I37" i="3"/>
  <c r="F37" i="3"/>
  <c r="K36" i="3"/>
  <c r="J36" i="3"/>
  <c r="I36" i="3"/>
  <c r="F36" i="3"/>
  <c r="K35" i="3"/>
  <c r="J35" i="3"/>
  <c r="I35" i="3"/>
  <c r="F35" i="3"/>
  <c r="K34" i="3"/>
  <c r="J34" i="3"/>
  <c r="I34" i="3"/>
  <c r="F34" i="3"/>
  <c r="K33" i="3"/>
  <c r="J33" i="3"/>
  <c r="I33" i="3"/>
  <c r="F33" i="3"/>
  <c r="M32" i="3"/>
  <c r="L32" i="3"/>
  <c r="K32" i="3"/>
  <c r="J32" i="3"/>
  <c r="I32" i="3"/>
  <c r="F32" i="3"/>
  <c r="K31" i="3"/>
  <c r="J31" i="3"/>
  <c r="I31" i="3"/>
  <c r="F31" i="3"/>
  <c r="M30" i="3"/>
  <c r="L30" i="3"/>
  <c r="K30" i="3"/>
  <c r="J30" i="3"/>
  <c r="I30" i="3"/>
  <c r="F30" i="3"/>
  <c r="K29" i="3"/>
  <c r="J29" i="3"/>
  <c r="I29" i="3"/>
  <c r="F29" i="3"/>
  <c r="K28" i="3"/>
  <c r="J28" i="3"/>
  <c r="I28" i="3"/>
  <c r="F28" i="3"/>
  <c r="M27" i="3"/>
  <c r="L27" i="3"/>
  <c r="K27" i="3"/>
  <c r="J27" i="3"/>
  <c r="I27" i="3"/>
  <c r="F27" i="3"/>
  <c r="K26" i="3"/>
  <c r="J26" i="3"/>
  <c r="I26" i="3"/>
  <c r="F26" i="3"/>
  <c r="K25" i="3"/>
  <c r="J25" i="3"/>
  <c r="I25" i="3"/>
  <c r="F25" i="3"/>
  <c r="M24" i="3"/>
  <c r="L24" i="3"/>
  <c r="K24" i="3"/>
  <c r="J24" i="3"/>
  <c r="I24" i="3"/>
  <c r="F24" i="3"/>
  <c r="K23" i="3"/>
  <c r="J23" i="3"/>
  <c r="I23" i="3"/>
  <c r="F23" i="3"/>
  <c r="K22" i="3"/>
  <c r="J22" i="3"/>
  <c r="I22" i="3"/>
  <c r="F22" i="3"/>
  <c r="K21" i="3"/>
  <c r="J21" i="3"/>
  <c r="I21" i="3"/>
  <c r="F21" i="3"/>
  <c r="M20" i="3"/>
  <c r="H91" i="3" s="1"/>
  <c r="L20" i="3"/>
  <c r="G91" i="3" s="1"/>
  <c r="K20" i="3"/>
  <c r="J20" i="3"/>
  <c r="I20" i="3"/>
  <c r="F20" i="3"/>
  <c r="K19" i="3"/>
  <c r="J19" i="3"/>
  <c r="I19" i="3"/>
  <c r="F19" i="3"/>
  <c r="K18" i="3"/>
  <c r="J18" i="3"/>
  <c r="I18" i="3"/>
  <c r="F18" i="3"/>
  <c r="K17" i="3"/>
  <c r="J17" i="3"/>
  <c r="I17" i="3"/>
  <c r="F17" i="3"/>
  <c r="M16" i="3"/>
  <c r="L16" i="3"/>
  <c r="K16" i="3"/>
  <c r="J16" i="3"/>
  <c r="I16" i="3"/>
  <c r="F16" i="3"/>
  <c r="C10" i="3"/>
  <c r="C9" i="3"/>
  <c r="C7" i="3"/>
  <c r="C6" i="3"/>
  <c r="C5" i="3"/>
  <c r="E30" i="22" l="1"/>
  <c r="B9" i="10" l="1"/>
  <c r="J30" i="22"/>
  <c r="I30" i="22"/>
  <c r="D30" i="22"/>
  <c r="C22" i="9"/>
  <c r="B6" i="10" l="1"/>
  <c r="B7" i="10" s="1"/>
  <c r="B8" i="10" s="1"/>
  <c r="B14" i="10" s="1"/>
  <c r="D22" i="9"/>
  <c r="B10" i="10" s="1"/>
  <c r="B11" i="10" s="1"/>
  <c r="B12" i="10" s="1"/>
  <c r="B15" i="10" s="1"/>
  <c r="B17" i="10" l="1"/>
  <c r="B20" i="10" s="1"/>
  <c r="B18" i="10"/>
  <c r="B21" i="10" s="1"/>
  <c r="B22" i="9"/>
  <c r="B28" i="8"/>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<sst xmlns="http://schemas.openxmlformats.org/spreadsheetml/2006/main" count="646" uniqueCount="253">
  <si>
    <t>Natural England Nutrient Neutrality budget calculator for the River Itchen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</si>
  <si>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</si>
  <si>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</si>
  <si>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</si>
  <si>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</si>
  <si>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</si>
  <si>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</si>
  <si>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</si>
  <si>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</si>
  <si>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</si>
  <si>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</si>
  <si>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</si>
  <si>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</si>
  <si>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</si>
  <si>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</si>
  <si>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</si>
  <si>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</si>
  <si>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</si>
  <si>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</si>
  <si>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</si>
  <si>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</si>
  <si>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</si>
  <si>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</si>
  <si>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</si>
  <si>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</si>
  <si>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</si>
  <si>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</si>
  <si>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</si>
  <si>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</si>
  <si>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</si>
  <si>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</si>
  <si>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</si>
  <si>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</si>
  <si>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</si>
  <si>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</si>
  <si>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</si>
  <si>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</si>
  <si>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</si>
  <si>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</si>
  <si>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or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</si>
  <si>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</si>
  <si>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B22, B23, B25, B26, B28 or B29.</t>
  </si>
  <si>
    <t>Notes about the nutrients from current land use worksheet</t>
  </si>
  <si>
    <t>This worksheet contains 2 tables that are used for calculating the annual nutrient load from existing (pre-development)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</si>
  <si>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</si>
  <si>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</si>
  <si>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</si>
  <si>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</si>
  <si>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</si>
  <si>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</si>
  <si>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'42023 - Itchen at Riverside Park' station</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</si>
  <si>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</si>
  <si>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</si>
  <si>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</si>
  <si>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</si>
  <si>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</si>
  <si>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</si>
  <si>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</si>
  <si>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</si>
  <si>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</si>
  <si>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</si>
  <si>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</si>
  <si>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</si>
  <si>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Cells B11 to B12 are automatically calculated and will state '0.00' unless the user inputs have been entered. Cells A13 to A16 and B13 to B16 are automatically generated and will state 'Not applicable' depending on the inputs to cells B5 and B10.  You may need to fill in cell C11 and cell C12 depending on the information you entered in cell B10. Cells C5 to C10 and cells C13 to C16 are intentionally blank cells. 
You do not need to fill in any cells in the second table 'Final calculation of nutrient load from wastewater'. Cells B20 to B23 are automatically calculated and will state '0.00' unless the user inputs have been entered to the first table 'Water infrastructure information'. Cells A24 to A29, cells B25 to B26 and cells B28 to B29 are automatically generated and will state 'Not applicable' depending on the user inputs to the first table 'Water infrastructure information'. Cell B19, cell B24 and cell B27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phosphorus (TP) in cell C11 and their certified value of total nitrogen (TN) in cell C12.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B16. If applicable, up to 6 values for the nutrient loading associated with wastewater will be presented in cell B22, B23, B25, B26, B28 or B29.</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</si>
  <si>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</si>
  <si>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</si>
  <si>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</si>
  <si>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</si>
  <si>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</si>
  <si>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</si>
  <si>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</si>
  <si>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</si>
  <si>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</si>
  <si>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</si>
  <si>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P permit (mg TP/litre):</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</si>
  <si>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</si>
  <si>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</si>
  <si>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</si>
  <si>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</si>
  <si>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</si>
  <si>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</si>
  <si>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TP load (kg TP/yr):</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</si>
  <si>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</si>
  <si>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C11 to C28 and D11 to D28 are automatically calculated and will state '0.00' unless the user inputs have been entered. Cells E11 to E27 are automatically generated and will state 'Not applicable' depending on automatically generated data in cells C11 to C27 and D11 and D27. Row 28 is a Total Row. The Total Row states 'Totals:' in cell A28 and automatically calculates the total sum of cells B11 to B27 in cell B28, C11 to C27 in cell C28 and D11 to D27 in cell D28. Cell E28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and cells D11-D27 for total nitrogen (TN).
The total nutrient load from current land uses is shown in cell C28 for TP and D28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</si>
  <si>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</si>
  <si>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</si>
  <si>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</si>
  <si>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</si>
  <si>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</si>
  <si>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</si>
  <si>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</si>
  <si>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</si>
  <si>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nutrient export  
(kg TP/yr)</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</si>
  <si>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</si>
  <si>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</si>
  <si>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</si>
  <si>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C5 to C22 and D5 to D22 are automatically generated calculations and will state '0.00' unless the user inputs have been entered. Row 22 is a Total Row. The Total Row states 'Totals:' in cell A22 and automatically calculates the total sum of cells B5 to B21 in cell B22, C5 to C21 in cell C22, and D5 to D21 in cell D22.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and in cells D5 to D21 for total nitrogen (TN). 
The total nutrient load from future land uses is shown in cell C22 for TP and D22 for TN. </t>
    </r>
  </si>
  <si>
    <t>Future land uses</t>
  </si>
  <si>
    <t>New land use type(s) - user inputs required</t>
  </si>
  <si>
    <t>Annual phosphorus nutrient export 
(kg TP/yr)</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</si>
  <si>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</si>
  <si>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</si>
  <si>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C29,cells F5 to F29, cells G5 to G29 and cells H5 to H29 if you are including SuDS to remove nutrients from the surface runoff. Cell B30, cells D5 to D30, cells E5 to E30, cells I5 to I30 and cells J5 to J30 are automatically calculated and will state '0.00' unless the user inputs have been entered. Cells K5 to K29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cells E5 to E29 in cell E30, cells I5 to I29 in cells I30, and cells J5 to J29 in cell J30. Cell C30, cell F30, cell G30, cell H30 and cell K30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and total nitrogen (TN) loads associated with the landcovers in the SuDS catchment area are automatically calculated in cells D5 to D29 and E5 to E29, respectively.
Cells F5 to F29: Enter the name of the SuDS features used to intercept surface flows can be entered in. Any text can be entered into these cells.
Cells G5 to G29: Enter the nutrient removal rates associated with the SuDS features for TP.
Cells H5 to H29: Enter the nutrient removal rates associated with the SuDS features for TN. 
Values for columns G and H must be identified by the user and must be specific to the SuDS features being implemented.
The annual TP and TN loads removed by the SuDS features are automatically calculated in cells I5-I29 for TP and J5-J29 for TN. These values are subtracted from the nutrient budget.
You do not need to fill in column K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I30 for TP and J30 for TN.</t>
    </r>
  </si>
  <si>
    <t>SuDS information</t>
  </si>
  <si>
    <t>New land use type(s) within SuDS catchment area - user inputs required</t>
  </si>
  <si>
    <t>SuDS catchment area (ha)  - user inputs required</t>
  </si>
  <si>
    <t>Percentage of flow entering the SuDS (%)  - user inputs required</t>
  </si>
  <si>
    <t xml:space="preserve">Annual phosphorus inputs to SuDS feature(s)
(kg TP/yr) </t>
  </si>
  <si>
    <t xml:space="preserve">Annual nitrogen inputs to SuDS feature(s)
(kg TN/yr) </t>
  </si>
  <si>
    <t>Name of SuDS feature(s) - user inputs required</t>
  </si>
  <si>
    <t>TP removal rate for features - user specified (%) - user inputs required</t>
  </si>
  <si>
    <t>TN removal rate for features - user specified (%) - user inputs required</t>
  </si>
  <si>
    <t>Annual phosphorus load removed by SuDS
(kg TP/yr)</t>
  </si>
  <si>
    <t>Annual nitrogen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</si>
  <si>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</si>
  <si>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B12 and cells B14 to B15 are automatically calculated and will state '0.00' unless the user inputs have been entered to all of the required worksheets. Cells A16 to A21, cell B17 to B18 and cells B20 to B21 are automatically generated and will state 'Not applicable' depending on the user inputs to the worksheet 'Nutrients_from_wastewater'. Cell B13, B16 and B19 are intentionally blank. 
This table presents calculations that underpin the final annual nutrient budget for the development site. Up to 3 values for the nutrient budget may be presented in cells B14, B17 and B20 for total phosphorus (TP), or B15, B18 and B21 for total nitrogen (TN). </t>
    </r>
  </si>
  <si>
    <t>Total nutrient budget calculations</t>
  </si>
  <si>
    <t>Wastewater TP load (kg TP/year):</t>
  </si>
  <si>
    <t>Net land use TP change (kg TP/year):</t>
  </si>
  <si>
    <t>P budget (kg TP/year):</t>
  </si>
  <si>
    <t>P budget + 20% buffer (kg TP/year):</t>
  </si>
  <si>
    <t>Wastewater TN load (kg TN/year):</t>
  </si>
  <si>
    <t>Net land use TN change (kg TN/year):</t>
  </si>
  <si>
    <t>TN budget:</t>
  </si>
  <si>
    <t>TN budget + 20% buffer:</t>
  </si>
  <si>
    <t>The total annual phosphorus load to mitigate is (kg TP/yr):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</si>
  <si>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</si>
  <si>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</si>
  <si>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</si>
  <si>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</si>
  <si>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</si>
  <si>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</si>
  <si>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</si>
  <si>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</si>
  <si>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</si>
  <si>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</si>
  <si>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</si>
  <si>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</si>
  <si>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</si>
  <si>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Chickenhall Eastleigh WwTW</t>
  </si>
  <si>
    <t>Harestock WwTW</t>
  </si>
  <si>
    <t>Morestead WwTW</t>
  </si>
  <si>
    <t>New Alresford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</si>
  <si>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</si>
  <si>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</si>
  <si>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</si>
  <si>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</si>
  <si>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</si>
  <si>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</si>
  <si>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</si>
  <si>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</si>
  <si>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</si>
  <si>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</si>
  <si>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</si>
  <si>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</si>
  <si>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</si>
  <si>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</si>
  <si>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</si>
  <si>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</si>
  <si>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</si>
  <si>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</si>
  <si>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</si>
  <si>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</si>
  <si>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</si>
  <si>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</si>
  <si>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</si>
  <si>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</si>
  <si>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</si>
  <si>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</si>
  <si>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</si>
  <si>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</si>
  <si>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</si>
  <si>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</si>
  <si>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</si>
  <si>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</si>
  <si>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</si>
  <si>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</si>
  <si>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</si>
  <si>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</si>
  <si>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</si>
  <si>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</si>
  <si>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</si>
  <si>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</si>
  <si>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</si>
  <si>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</si>
  <si>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</si>
  <si>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</si>
  <si>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</si>
  <si>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</si>
  <si>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</si>
  <si>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</si>
  <si>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</si>
  <si>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</si>
  <si>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</si>
  <si>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</si>
  <si>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</si>
  <si>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</si>
  <si>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</si>
  <si>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</si>
  <si>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</si>
  <si>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</si>
  <si>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</si>
  <si>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</si>
  <si>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</si>
  <si>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</si>
  <si>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</si>
  <si>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</si>
  <si>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</si>
  <si>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</si>
  <si>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</si>
  <si>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</si>
  <si>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</si>
  <si>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</si>
  <si>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</si>
  <si>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</si>
  <si>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</si>
  <si>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</si>
  <si>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</si>
  <si>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</si>
  <si>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</si>
  <si>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</si>
  <si>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</si>
  <si>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</si>
  <si>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</si>
  <si>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</si>
  <si>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</si>
  <si>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</si>
  <si>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</si>
  <si>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</si>
  <si>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</si>
  <si>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</si>
  <si>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</si>
  <si>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</si>
  <si>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</si>
  <si>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</si>
  <si>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</si>
  <si>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</si>
  <si>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</si>
  <si>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</si>
  <si>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</si>
  <si>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</si>
  <si>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</si>
  <si>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</si>
  <si>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</si>
  <si>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</si>
  <si>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</si>
  <si>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</si>
  <si>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</si>
  <si>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</si>
  <si>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Itchen Specific Landcover Types</t>
  </si>
  <si>
    <t>Table 9: New landcovers</t>
  </si>
  <si>
    <t>Future Landcovers</t>
  </si>
  <si>
    <t>Dry swale and pond treatment train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</si>
</sst>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2" x14ac:knownFonts="1">
    <font>
      <sz val="11"/>
      <color theme="1"/>
      <name val="Calibri"/>
      <family val="2"/>
      <scheme val="minor"/>
    </font>
    <font>
      <u/>
      <sz val="11"/>
      <color theme="10"/>
      <name val="Calibri"/>
      <family val="2"/>
      <scheme val="minor"/>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12"/>
      <color theme="0"/>
      <name val="Arial"/>
      <family val="2"/>
    </font>
    <font>
      <sz val="12"/>
      <color rgb="FF00000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auto="1"/>
      </right>
      <top style="thin">
        <color theme="1"/>
      </top>
      <bottom/>
      <diagonal/>
    </border>
    <border>
      <left/>
      <right style="thin">
        <color theme="1"/>
      </right>
      <top style="thin">
        <color auto="1"/>
      </top>
      <bottom/>
      <diagonal/>
    </border>
    <border>
      <left style="thin">
        <color auto="1"/>
      </left>
      <right/>
      <top/>
      <bottom style="thin">
        <color theme="1"/>
      </bottom>
      <diagonal/>
    </border>
  </borders>
  <cellStyleXfs count="4">
    <xf numFmtId="0" fontId="0" fillId="0" borderId="0"/>
    <xf numFmtId="0" fontId="1" fillId="0" borderId="0" applyNumberFormat="0" applyFill="0" applyBorder="0" applyAlignment="0" applyProtection="0"/>
    <xf numFmtId="0" fontId="7" fillId="0" borderId="2" applyNumberFormat="0" applyFill="0" applyBorder="0" applyAlignment="0" applyProtection="0"/>
    <xf numFmtId="0" fontId="8" fillId="0" borderId="6" applyNumberFormat="0" applyFill="0" applyBorder="0" applyAlignment="0" applyProtection="0"/>
  </cellStyleXfs>
  <cellXfs count="99">
    <xf numFmtId="0" fontId="0" fillId="0" borderId="0" xfId="0"/>
    <xf numFmtId="0" fontId="7" fillId="2" borderId="1" xfId="2" applyFill="1" applyBorder="1" applyAlignment="1" applyProtection="1">
      <alignment horizontal="left" vertical="center"/>
    </xf>
    <xf numFmtId="0" fontId="4" fillId="3" borderId="0" xfId="0" applyFont="1" applyFill="1" applyAlignment="1">
      <alignment horizontal="left" vertical="center" wrapText="1"/>
    </xf>
    <xf numFmtId="0" fontId="4" fillId="3" borderId="1" xfId="0" applyFont="1" applyFill="1" applyBorder="1" applyAlignment="1">
      <alignment horizontal="left" vertical="center" wrapText="1"/>
    </xf>
    <xf numFmtId="0" fontId="8" fillId="2" borderId="1" xfId="3"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1" fillId="3" borderId="1" xfId="1" applyFont="1" applyFill="1" applyBorder="1" applyAlignment="1" applyProtection="1">
      <alignment horizontal="left" vertical="center" wrapText="1"/>
    </xf>
    <xf numFmtId="0" fontId="11" fillId="3" borderId="0" xfId="1" applyFont="1" applyFill="1" applyBorder="1" applyAlignment="1" applyProtection="1">
      <alignment horizontal="left" vertical="center" wrapText="1"/>
    </xf>
    <xf numFmtId="0" fontId="11" fillId="3" borderId="1" xfId="1" applyFont="1" applyFill="1" applyBorder="1" applyAlignment="1">
      <alignment horizontal="left" vertical="center" wrapText="1"/>
    </xf>
    <xf numFmtId="0" fontId="5" fillId="3" borderId="0" xfId="1" applyFont="1" applyFill="1" applyBorder="1" applyAlignment="1" applyProtection="1">
      <alignment horizontal="left" vertical="center" wrapText="1"/>
    </xf>
    <xf numFmtId="0" fontId="5" fillId="3" borderId="0" xfId="0" applyFont="1" applyFill="1" applyAlignment="1">
      <alignment horizontal="left" vertical="center" wrapText="1"/>
    </xf>
    <xf numFmtId="0" fontId="7" fillId="2" borderId="1" xfId="2" applyFill="1" applyBorder="1" applyAlignment="1" applyProtection="1">
      <alignment horizontal="left" vertical="center" wrapText="1"/>
    </xf>
    <xf numFmtId="0" fontId="4" fillId="3" borderId="0" xfId="0" applyFont="1" applyFill="1" applyAlignment="1">
      <alignment horizontal="left" wrapText="1"/>
    </xf>
    <xf numFmtId="0" fontId="4" fillId="3" borderId="1" xfId="0" applyFont="1" applyFill="1" applyBorder="1" applyAlignment="1">
      <alignment horizontal="left" vertical="top" wrapText="1"/>
    </xf>
    <xf numFmtId="0" fontId="5" fillId="2" borderId="9" xfId="0" applyFont="1" applyFill="1" applyBorder="1" applyAlignment="1">
      <alignment horizontal="left" vertical="center" wrapText="1"/>
    </xf>
    <xf numFmtId="0" fontId="5" fillId="2" borderId="13" xfId="0" applyFont="1" applyFill="1" applyBorder="1" applyAlignment="1">
      <alignment horizontal="left" vertical="center" wrapText="1"/>
    </xf>
    <xf numFmtId="14" fontId="4" fillId="4" borderId="7" xfId="0" applyNumberFormat="1" applyFont="1" applyFill="1" applyBorder="1" applyAlignment="1" applyProtection="1">
      <alignment horizontal="left" vertical="center" wrapText="1"/>
      <protection locked="0"/>
    </xf>
    <xf numFmtId="2" fontId="4" fillId="4" borderId="7" xfId="0" applyNumberFormat="1" applyFont="1" applyFill="1" applyBorder="1" applyAlignment="1" applyProtection="1">
      <alignment horizontal="left" vertical="center" wrapText="1"/>
      <protection locked="0"/>
    </xf>
    <xf numFmtId="0" fontId="4" fillId="4" borderId="7" xfId="0" applyFont="1" applyFill="1" applyBorder="1" applyAlignment="1" applyProtection="1">
      <alignment horizontal="left" vertical="center" wrapText="1"/>
      <protection locked="0"/>
    </xf>
    <xf numFmtId="0" fontId="5" fillId="3" borderId="7"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2" borderId="1" xfId="0" applyFont="1" applyFill="1" applyBorder="1" applyAlignment="1">
      <alignment horizontal="left" vertical="center"/>
    </xf>
    <xf numFmtId="0" fontId="4" fillId="3" borderId="5" xfId="0" applyFont="1" applyFill="1" applyBorder="1" applyAlignment="1">
      <alignment horizontal="left" wrapText="1"/>
    </xf>
    <xf numFmtId="2" fontId="5" fillId="3" borderId="15" xfId="0" applyNumberFormat="1" applyFont="1" applyFill="1" applyBorder="1" applyAlignment="1">
      <alignment horizontal="left" vertical="center" wrapText="1"/>
    </xf>
    <xf numFmtId="0" fontId="5" fillId="2" borderId="9" xfId="0" applyFont="1" applyFill="1" applyBorder="1" applyAlignment="1">
      <alignment horizontal="left" vertical="center"/>
    </xf>
    <xf numFmtId="0" fontId="5" fillId="2"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14" fontId="4" fillId="4" borderId="10" xfId="0" applyNumberFormat="1" applyFont="1" applyFill="1" applyBorder="1" applyAlignment="1" applyProtection="1">
      <alignment horizontal="left" vertical="center" wrapText="1"/>
      <protection locked="0"/>
    </xf>
    <xf numFmtId="2" fontId="4" fillId="3" borderId="0" xfId="0" applyNumberFormat="1" applyFont="1" applyFill="1" applyAlignment="1">
      <alignment horizontal="left" vertical="center" wrapText="1"/>
    </xf>
    <xf numFmtId="0" fontId="11" fillId="3" borderId="0" xfId="1" applyFont="1" applyFill="1" applyAlignment="1" applyProtection="1">
      <alignment horizontal="left" vertical="center" wrapText="1"/>
    </xf>
    <xf numFmtId="2" fontId="4" fillId="4" borderId="10" xfId="0" applyNumberFormat="1" applyFont="1" applyFill="1" applyBorder="1" applyAlignment="1" applyProtection="1">
      <alignment horizontal="left" vertical="center" wrapText="1"/>
      <protection locked="0"/>
    </xf>
    <xf numFmtId="0" fontId="4" fillId="4" borderId="10" xfId="0" applyFont="1" applyFill="1" applyBorder="1" applyAlignment="1" applyProtection="1">
      <alignment horizontal="left" vertical="center" wrapText="1"/>
      <protection locked="0"/>
    </xf>
    <xf numFmtId="0" fontId="4" fillId="3" borderId="4" xfId="0" applyFont="1" applyFill="1" applyBorder="1" applyAlignment="1">
      <alignment horizontal="left" vertical="center" wrapText="1"/>
    </xf>
    <xf numFmtId="0" fontId="4" fillId="4" borderId="11" xfId="0" applyFont="1" applyFill="1" applyBorder="1" applyAlignment="1" applyProtection="1">
      <alignment horizontal="left" vertical="center" wrapText="1"/>
      <protection locked="0"/>
    </xf>
    <xf numFmtId="2" fontId="4" fillId="3" borderId="12" xfId="0" applyNumberFormat="1" applyFont="1" applyFill="1" applyBorder="1" applyAlignment="1" applyProtection="1">
      <alignment horizontal="left" vertical="center" wrapText="1"/>
      <protection locked="0"/>
    </xf>
    <xf numFmtId="2" fontId="4" fillId="4" borderId="1" xfId="0" applyNumberFormat="1" applyFont="1" applyFill="1" applyBorder="1" applyAlignment="1" applyProtection="1">
      <alignment horizontal="left" vertical="center" wrapText="1"/>
      <protection locked="0"/>
    </xf>
    <xf numFmtId="2" fontId="5" fillId="3" borderId="1" xfId="0" applyNumberFormat="1" applyFont="1" applyFill="1" applyBorder="1" applyAlignment="1">
      <alignment horizontal="left" vertical="center" wrapText="1"/>
    </xf>
    <xf numFmtId="2" fontId="4" fillId="3" borderId="10" xfId="0" applyNumberFormat="1" applyFont="1" applyFill="1" applyBorder="1" applyAlignment="1">
      <alignment horizontal="left" vertical="center" wrapText="1"/>
    </xf>
    <xf numFmtId="2" fontId="5" fillId="3" borderId="3" xfId="0" applyNumberFormat="1" applyFont="1" applyFill="1" applyBorder="1" applyAlignment="1">
      <alignment horizontal="left" vertical="center" wrapText="1"/>
    </xf>
    <xf numFmtId="0" fontId="5" fillId="3" borderId="0" xfId="0" applyFont="1" applyFill="1" applyAlignment="1">
      <alignment horizontal="left" vertical="center"/>
    </xf>
    <xf numFmtId="0" fontId="5" fillId="3" borderId="0" xfId="0" applyFont="1" applyFill="1" applyAlignment="1">
      <alignment horizontal="left" wrapText="1"/>
    </xf>
    <xf numFmtId="0" fontId="4" fillId="2" borderId="1" xfId="0" applyFont="1" applyFill="1" applyBorder="1" applyAlignment="1">
      <alignment horizontal="left" vertical="center" wrapText="1"/>
    </xf>
    <xf numFmtId="0" fontId="4" fillId="4" borderId="1" xfId="0" applyFont="1" applyFill="1" applyBorder="1" applyAlignment="1" applyProtection="1">
      <alignment horizontal="left" vertical="center" wrapText="1"/>
      <protection locked="0"/>
    </xf>
    <xf numFmtId="0" fontId="4" fillId="4" borderId="0" xfId="0" applyFont="1" applyFill="1" applyAlignment="1" applyProtection="1">
      <alignment horizontal="left" vertical="center" wrapText="1"/>
      <protection locked="0"/>
    </xf>
    <xf numFmtId="2" fontId="4" fillId="4" borderId="0" xfId="0" applyNumberFormat="1" applyFont="1" applyFill="1" applyAlignment="1" applyProtection="1">
      <alignment horizontal="left" vertical="center" wrapText="1"/>
      <protection locked="0"/>
    </xf>
    <xf numFmtId="2" fontId="5" fillId="3" borderId="0" xfId="0" applyNumberFormat="1" applyFont="1" applyFill="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8" fillId="2" borderId="3" xfId="3"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0" xfId="0" applyFont="1" applyFill="1" applyAlignment="1">
      <alignment horizontal="left" vertical="center"/>
    </xf>
    <xf numFmtId="2" fontId="5" fillId="3" borderId="10" xfId="0" applyNumberFormat="1" applyFont="1" applyFill="1" applyBorder="1" applyAlignment="1">
      <alignment horizontal="left" vertical="center" wrapText="1"/>
    </xf>
    <xf numFmtId="2" fontId="5" fillId="3" borderId="10" xfId="0" quotePrefix="1" applyNumberFormat="1"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2" fontId="5" fillId="3" borderId="14" xfId="0" applyNumberFormat="1" applyFont="1" applyFill="1" applyBorder="1" applyAlignment="1">
      <alignment horizontal="left" vertical="center" wrapText="1"/>
    </xf>
    <xf numFmtId="2" fontId="5" fillId="3" borderId="4" xfId="0" applyNumberFormat="1" applyFont="1" applyFill="1" applyBorder="1" applyAlignment="1">
      <alignment horizontal="left" vertical="center" wrapText="1"/>
    </xf>
    <xf numFmtId="0" fontId="4" fillId="3" borderId="16" xfId="0" applyFont="1" applyFill="1" applyBorder="1" applyAlignment="1">
      <alignment horizontal="left" vertical="center" wrapText="1"/>
    </xf>
    <xf numFmtId="2" fontId="5" fillId="3" borderId="7" xfId="0" applyNumberFormat="1" applyFont="1" applyFill="1" applyBorder="1" applyAlignment="1">
      <alignment horizontal="left" vertical="center" wrapText="1"/>
    </xf>
    <xf numFmtId="2" fontId="5" fillId="2" borderId="15" xfId="0" applyNumberFormat="1" applyFont="1" applyFill="1" applyBorder="1" applyAlignment="1">
      <alignment horizontal="left" vertical="center" wrapText="1"/>
    </xf>
    <xf numFmtId="0" fontId="4" fillId="2" borderId="7" xfId="0" applyFont="1" applyFill="1" applyBorder="1" applyAlignment="1">
      <alignment horizontal="left" wrapText="1"/>
    </xf>
    <xf numFmtId="0" fontId="4" fillId="2" borderId="11" xfId="0" applyFont="1" applyFill="1" applyBorder="1" applyAlignment="1">
      <alignment horizontal="left" vertical="center" wrapText="1"/>
    </xf>
    <xf numFmtId="2" fontId="5" fillId="2" borderId="3"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0" xfId="0" applyFont="1" applyFill="1" applyAlignment="1">
      <alignment vertical="center" wrapText="1"/>
    </xf>
    <xf numFmtId="0" fontId="6" fillId="3" borderId="0" xfId="0" applyFont="1" applyFill="1" applyAlignment="1">
      <alignment wrapText="1"/>
    </xf>
    <xf numFmtId="0" fontId="6" fillId="3" borderId="0" xfId="0" applyFont="1" applyFill="1" applyAlignment="1">
      <alignment horizontal="left" vertical="center" wrapText="1"/>
    </xf>
    <xf numFmtId="2" fontId="6" fillId="3" borderId="0" xfId="0" applyNumberFormat="1" applyFont="1" applyFill="1" applyAlignment="1">
      <alignment horizontal="left" vertical="center" wrapText="1"/>
    </xf>
    <xf numFmtId="0" fontId="10" fillId="3" borderId="0" xfId="0" applyFont="1" applyFill="1" applyAlignment="1">
      <alignment horizontal="left" vertical="center" wrapText="1"/>
    </xf>
    <xf numFmtId="0" fontId="2"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10" fillId="3" borderId="1" xfId="0" applyFont="1" applyFill="1" applyBorder="1" applyAlignment="1">
      <alignment horizontal="left" vertical="center" wrapText="1"/>
    </xf>
    <xf numFmtId="0" fontId="6" fillId="3" borderId="1" xfId="0" applyFont="1" applyFill="1" applyBorder="1" applyAlignment="1">
      <alignment wrapText="1"/>
    </xf>
    <xf numFmtId="0" fontId="2" fillId="2" borderId="9" xfId="0" applyFont="1" applyFill="1" applyBorder="1" applyAlignment="1">
      <alignment horizontal="left" vertical="center" wrapText="1"/>
    </xf>
    <xf numFmtId="0" fontId="2" fillId="2" borderId="8" xfId="0" applyFont="1" applyFill="1" applyBorder="1" applyAlignment="1">
      <alignment horizontal="left" vertical="center" wrapText="1"/>
    </xf>
    <xf numFmtId="0" fontId="6" fillId="3" borderId="7" xfId="0" applyFont="1" applyFill="1" applyBorder="1" applyAlignment="1">
      <alignment horizontal="left" vertical="center" wrapText="1"/>
    </xf>
    <xf numFmtId="2" fontId="6" fillId="3" borderId="10" xfId="0" applyNumberFormat="1" applyFont="1" applyFill="1" applyBorder="1" applyAlignment="1">
      <alignment horizontal="left" vertical="center" wrapText="1"/>
    </xf>
    <xf numFmtId="0" fontId="6" fillId="3" borderId="4" xfId="0" applyFont="1" applyFill="1" applyBorder="1" applyAlignment="1">
      <alignment horizontal="left" vertical="center" wrapText="1"/>
    </xf>
    <xf numFmtId="2" fontId="6" fillId="3" borderId="11" xfId="0" applyNumberFormat="1" applyFont="1" applyFill="1" applyBorder="1" applyAlignment="1">
      <alignment horizontal="left" vertical="center" wrapText="1"/>
    </xf>
    <xf numFmtId="49" fontId="6" fillId="3" borderId="7" xfId="0" applyNumberFormat="1" applyFont="1" applyFill="1" applyBorder="1" applyAlignment="1">
      <alignment horizontal="left" vertical="center" wrapText="1"/>
    </xf>
    <xf numFmtId="0" fontId="6" fillId="3" borderId="10" xfId="0" applyFont="1" applyFill="1" applyBorder="1" applyAlignment="1">
      <alignment horizontal="left" vertical="center" wrapText="1"/>
    </xf>
    <xf numFmtId="49" fontId="6" fillId="3" borderId="4" xfId="0" applyNumberFormat="1"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2" fontId="4" fillId="3" borderId="1" xfId="0" applyNumberFormat="1" applyFont="1" applyFill="1" applyBorder="1" applyAlignment="1">
      <alignment horizontal="left" vertical="center" wrapText="1"/>
    </xf>
    <xf numFmtId="2" fontId="4" fillId="3" borderId="3" xfId="0" applyNumberFormat="1" applyFont="1" applyFill="1" applyBorder="1" applyAlignment="1">
      <alignment horizontal="left" vertical="center" wrapText="1"/>
    </xf>
    <xf numFmtId="0" fontId="4" fillId="3" borderId="3" xfId="0" applyFont="1" applyFill="1" applyBorder="1" applyAlignment="1">
      <alignment horizontal="left" vertical="center" wrapText="1"/>
    </xf>
    <xf numFmtId="2" fontId="4" fillId="3" borderId="11" xfId="0" applyNumberFormat="1" applyFont="1" applyFill="1" applyBorder="1" applyAlignment="1">
      <alignment horizontal="left" vertical="center" wrapText="1"/>
    </xf>
    <xf numFmtId="0" fontId="6" fillId="3" borderId="7"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2" fontId="6" fillId="3" borderId="1" xfId="0" applyNumberFormat="1" applyFont="1" applyFill="1" applyBorder="1" applyAlignment="1">
      <alignment horizontal="left" vertical="center" wrapText="1"/>
    </xf>
    <xf numFmtId="2" fontId="10" fillId="3" borderId="1" xfId="0" applyNumberFormat="1" applyFont="1" applyFill="1" applyBorder="1" applyAlignment="1">
      <alignment horizontal="left" vertical="center" wrapText="1"/>
    </xf>
    <xf numFmtId="0" fontId="6" fillId="3" borderId="4" xfId="0" applyFont="1" applyFill="1" applyBorder="1" applyAlignment="1" applyProtection="1">
      <alignment horizontal="left" vertical="center" wrapText="1"/>
      <protection hidden="1"/>
    </xf>
    <xf numFmtId="0" fontId="6" fillId="3" borderId="3" xfId="0" applyFont="1" applyFill="1" applyBorder="1" applyAlignment="1" applyProtection="1">
      <alignment horizontal="left" vertical="center" wrapText="1"/>
      <protection hidden="1"/>
    </xf>
    <xf numFmtId="2" fontId="6" fillId="3" borderId="3" xfId="0" applyNumberFormat="1" applyFont="1" applyFill="1" applyBorder="1" applyAlignment="1">
      <alignment horizontal="left" vertical="center" wrapText="1"/>
    </xf>
    <xf numFmtId="0" fontId="8" fillId="2" borderId="3" xfId="3" applyFill="1" applyBorder="1" applyAlignment="1" applyProtection="1">
      <alignment horizontal="left" vertical="center" wrapText="1"/>
    </xf>
    <xf numFmtId="0" fontId="2" fillId="2" borderId="13" xfId="0" applyFont="1" applyFill="1" applyBorder="1" applyAlignment="1">
      <alignment horizontal="left" vertical="center" wrapText="1"/>
    </xf>
    <xf numFmtId="0" fontId="6" fillId="3" borderId="1" xfId="0" applyFont="1" applyFill="1" applyBorder="1" applyAlignment="1">
      <alignment vertical="center" wrapText="1"/>
    </xf>
    <xf numFmtId="0" fontId="4"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50">
    <dxf>
      <font>
        <color theme="1"/>
      </font>
    </dxf>
    <dxf>
      <fill>
        <patternFill>
          <bgColor rgb="FFE9EDF7"/>
        </patternFill>
      </fill>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numFmt numFmtId="0" formatCode="General"/>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protection locked="1" hidden="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outline="0">
        <left style="thin">
          <color auto="1"/>
        </left>
        <top style="thin">
          <color auto="1"/>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outline="0">
        <bottom style="thin">
          <color auto="1"/>
        </bottom>
      </border>
    </dxf>
    <dxf>
      <font>
        <strike val="0"/>
        <outline val="0"/>
        <shadow val="0"/>
        <u val="none"/>
        <vertAlign val="baseline"/>
        <sz val="12"/>
        <color auto="1"/>
        <name val="Arial"/>
        <family val="2"/>
        <scheme val="none"/>
      </font>
      <fill>
        <patternFill patternType="solid">
          <fgColor indexed="64"/>
          <bgColor rgb="FFFFFFCC"/>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protection locked="1" hidden="0"/>
    </dxf>
    <dxf>
      <border>
        <bottom style="thin">
          <color indexed="64"/>
        </bottom>
      </border>
    </dxf>
    <dxf>
      <font>
        <b/>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microsoft.com/office/2017/06/relationships/rdRichValue" Target="richData/rdrichvalue.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tyles" Target="styles.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theme" Target="theme/theme1.xml"/><Relationship Id="rId14" Type="http://schemas.microsoft.com/office/2017/06/relationships/rdRichValueStructure" Target="richData/rdrichvaluestructure.xml"/><Relationship Id="rId22" Type="http://schemas.openxmlformats.org/officeDocument/2006/relationships/customXml" Target="../customXml/item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10:B15" totalsRowShown="0" headerRowDxfId="149" dataDxfId="148">
  <autoFilter ref="A10:B15" xr:uid="{7EBF9311-A278-4083-BF4D-937B4AAC2ED7}">
    <filterColumn colId="0" hiddenButton="1"/>
    <filterColumn colId="1" hiddenButton="1"/>
  </autoFilter>
  <tableColumns count="2">
    <tableColumn id="1" xr3:uid="{EC08AA9D-D8AA-4D04-81C0-5F70E5CFF32B}" name="Topic of each table" dataDxfId="147"/>
    <tableColumn id="2" xr3:uid="{8626C486-F03D-46F8-B4FF-6F484971E7CB}" name="Link to each worksheet" dataDxfId="146"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2:A46" totalsRowShown="0" headerRowDxfId="145" dataDxfId="143" headerRowBorderDxfId="144" tableBorderDxfId="142" totalsRowBorderDxfId="141">
  <autoFilter ref="A42:A46" xr:uid="{64981484-4795-461F-A3C7-626CD012A06C}">
    <filterColumn colId="0" hiddenButton="1"/>
  </autoFilter>
  <tableColumns count="1">
    <tableColumn id="1" xr3:uid="{7B0543B4-03E3-4FAF-BFF9-98B834A2A253}" name="Description of the information:" dataDxfId="140"/>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6" totalsRowShown="0" headerRowDxfId="139" dataDxfId="137" headerRowBorderDxfId="138" tableBorderDxfId="136" totalsRowBorderDxfId="135">
  <autoFilter ref="A4:C16" xr:uid="{A1B5B190-0D99-4438-A727-7A56D64D1229}">
    <filterColumn colId="0" hiddenButton="1"/>
    <filterColumn colId="1" hiddenButton="1"/>
    <filterColumn colId="2" hiddenButton="1"/>
  </autoFilter>
  <tableColumns count="3">
    <tableColumn id="1" xr3:uid="{CB73BF63-0885-411C-A54D-2DF95FDFC003}" name="Description of required information" dataDxfId="134"/>
    <tableColumn id="2" xr3:uid="{D22CDBE7-9B75-4248-A951-0D061DAA9F1C}" name="Data entry column - user inputs required" dataDxfId="133"/>
    <tableColumn id="4" xr3:uid="{20424A8D-23FA-4C1D-B394-6A4A0726E8D6}" name="Additional data entry column - user inputs may be required" dataDxfId="132"/>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8:B29" totalsRowShown="0" headerRowDxfId="131" dataDxfId="129" headerRowBorderDxfId="130" tableBorderDxfId="128">
  <autoFilter ref="A18:B29" xr:uid="{B50C45A2-2A77-478E-B226-DC5B3B2EA72E}">
    <filterColumn colId="0" hiddenButton="1"/>
    <filterColumn colId="1" hiddenButton="1"/>
  </autoFilter>
  <tableColumns count="2">
    <tableColumn id="1" xr3:uid="{FA8C78F6-50A3-498F-8975-6D1EC817B86B}" name="Description of values generated" dataDxfId="127"/>
    <tableColumn id="2" xr3:uid="{150A0AA5-FDF2-4BA1-A9A8-36A566F3E6CC}" name="Values generated" dataDxfId="126"/>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25" dataDxfId="123" headerRowBorderDxfId="124" tableBorderDxfId="122" totalsRowBorderDxfId="121">
  <autoFilter ref="A4:B8" xr:uid="{E51AE02F-7B0C-4640-BEBD-8FD46432F29C}">
    <filterColumn colId="0" hiddenButton="1"/>
    <filterColumn colId="1" hiddenButton="1"/>
  </autoFilter>
  <tableColumns count="2">
    <tableColumn id="1" xr3:uid="{C513A266-837A-4378-8552-D156135B549F}" name="Description of required information" dataDxfId="120"/>
    <tableColumn id="2" xr3:uid="{9FEADC6D-D9F7-40A8-AB95-390DAB627A00}" name="Data entry column - user inputs required" dataDxfId="119"/>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E28" totalsRowShown="0" headerRowDxfId="118" dataDxfId="116" headerRowBorderDxfId="117" tableBorderDxfId="115" totalsRowBorderDxfId="114">
  <autoFilter ref="A10:E28" xr:uid="{2F2DD0FD-3B2D-41B9-B376-162F1F698B17}">
    <filterColumn colId="0" hiddenButton="1"/>
    <filterColumn colId="1" hiddenButton="1"/>
    <filterColumn colId="2" hiddenButton="1"/>
    <filterColumn colId="3" hiddenButton="1"/>
    <filterColumn colId="4" hiddenButton="1"/>
  </autoFilter>
  <tableColumns count="5">
    <tableColumn id="1" xr3:uid="{2FA17B9E-8276-4D3C-A7AA-EA01ABD0CACA}" name="Existing land use type(s) - user inputs required" dataDxfId="113"/>
    <tableColumn id="2" xr3:uid="{DA6AF240-7DDF-40CC-B3C9-0A6C10900A68}" name="Area (ha) - user inputs required" dataDxfId="112"/>
    <tableColumn id="3" xr3:uid="{6E639853-0D25-4A34-A943-04CF61F257AF}" name="Annual phosphorus nutrient export  _x000a_(kg TP/yr)" dataDxfId="111"/>
    <tableColumn id="4" xr3:uid="{D46D9DE3-2913-45A9-81EF-5C0B16A60B70}" name="Annual nitrogen nutrient export  _x000a_(kg TN/yr)" dataDxfId="110"/>
    <tableColumn id="5" xr3:uid="{B35F3CE8-F7D9-4526-B8D6-064B09EE0E77}" name="Notes on data" dataDxfId="10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D22" totalsRowShown="0" headerRowDxfId="108" dataDxfId="107">
  <autoFilter ref="A4:D22" xr:uid="{4057B598-0CAB-42EF-BD1C-CD9464EFF558}">
    <filterColumn colId="0" hiddenButton="1"/>
    <filterColumn colId="1" hiddenButton="1"/>
    <filterColumn colId="2" hiddenButton="1"/>
    <filterColumn colId="3" hiddenButton="1"/>
  </autoFilter>
  <tableColumns count="4">
    <tableColumn id="1" xr3:uid="{E733CC69-D292-417A-89E1-BDB32D6E70AE}" name="New land use type(s) - user inputs required" dataDxfId="106"/>
    <tableColumn id="2" xr3:uid="{2BF0443C-5885-452F-9860-409F1647E1C1}" name="Area (ha) - user inputs required" dataDxfId="105"/>
    <tableColumn id="3" xr3:uid="{25FC9D0F-4B95-491D-B24D-E74B3A1DBC98}" name="Annual phosphorus nutrient export _x000a_(kg TP/yr)" dataDxfId="104"/>
    <tableColumn id="4" xr3:uid="{D4EA72A6-0C9C-4A1E-8AAC-10EB38F195A8}" name="Annual nitrogen nutrient export_x000a_(kg TN/yr)" dataDxfId="10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K30" totalsRowShown="0" headerRowDxfId="102" dataDxfId="100" headerRowBorderDxfId="101" tableBorderDxfId="99" totalsRowBorderDxfId="98">
  <autoFilter ref="A4:K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BEDF9EA9-1FAE-44BF-9739-66E3DB42A5C2}" name="New land use type(s) within SuDS catchment area - user inputs required" dataDxfId="97"/>
    <tableColumn id="2" xr3:uid="{72D29FD7-7898-4191-A97D-55B2AC2A6039}" name="SuDS catchment area (ha)  - user inputs required" dataDxfId="96"/>
    <tableColumn id="10" xr3:uid="{C118AB6C-A0C7-46A0-B4D4-823E8172F281}" name="Percentage of flow entering the SuDS (%)  - user inputs required" dataDxfId="95"/>
    <tableColumn id="3" xr3:uid="{ED81FC8E-03C3-4BFE-9F76-89B40F31A34D}" name="Annual phosphorus inputs to SuDS feature(s)_x000a_(kg TP/yr) " dataDxfId="94">
      <calculatedColumnFormula>IFERROR(IF(ISBLANK(A5),"",IF(ISBLANK(B5),"",VLOOKUP(A5,Nutrients_from_future_land_use!$A$5:$D$21,3,FALSE)*(100*B5/VLOOKUP(A5,Nutrients_from_future_land_use!$A$5:$D$21,2,FALSE)))),"")</calculatedColumnFormula>
    </tableColumn>
    <tableColumn id="4" xr3:uid="{C9DF269B-9235-47CA-9628-CA0EAEA7E887}" name="Annual nitrogen inputs to SuDS feature(s)_x000a_(kg TN/yr) " dataDxfId="93">
      <calculatedColumnFormula>IFERROR(IF(ISBLANK(A5),"",IF(ISBLANK(B5),"",VLOOKUP(A5,Nutrients_from_future_land_use!$A$5:$D$21,4,FALSE)*(B5/VLOOKUP(A5,Nutrients_from_future_land_use!$A$5:$D$21,2,FALSE)))),"")</calculatedColumnFormula>
    </tableColumn>
    <tableColumn id="5" xr3:uid="{95439CAD-05D0-4028-94D4-451B848D06FE}" name="Name of SuDS feature(s) - user inputs required" dataDxfId="92"/>
    <tableColumn id="7" xr3:uid="{C0ABEF49-1594-4E02-BF91-3B0541CD3C39}" name="TP removal rate for features - user specified (%) - user inputs required" dataDxfId="91"/>
    <tableColumn id="8" xr3:uid="{6CE040BE-33E5-44DA-B389-E1BC789E21E5}" name="TN removal rate for features - user specified (%) - user inputs required" dataDxfId="90">
      <calculatedColumnFormula>IF(OR(#REF!="No",ISBLANK(#REF!)),"",IF(#REF!="Yes","","TN removal rate - user specified (%)"))</calculatedColumnFormula>
    </tableColumn>
    <tableColumn id="13" xr3:uid="{AD318CD3-7F23-4854-891B-91CB70148FB9}" name="Annual phosphorus load removed by SuDS_x000a_(kg TP/yr)" dataDxfId="89"/>
    <tableColumn id="14" xr3:uid="{1156F97A-C06E-4041-A8E9-274F94CC02BE}" name="Annual nitrogen load removed by SuDS_x000a_(kg TP/yr)" dataDxfId="88"/>
    <tableColumn id="6" xr3:uid="{E06A970A-6835-4E49-9119-FEAF7BC8D4A0}" name="Notes on data" dataDxfId="87">
      <calculatedColumnFormula>IF(SUMIFS($B$5:$B$29,$A$5:$A$29,A5)&gt;SUMIFS(Nutrients_from_future_land_use!$B$5:$B$21,Nutrients_from_future_land_use!$A$5:$A$21,A5),"Area of new land covers within SuDS catchment area exceeds the area of new land covers proposed","Not applicable")</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21" totalsRowShown="0" headerRowDxfId="86" dataDxfId="84" headerRowBorderDxfId="85" tableBorderDxfId="83" totalsRowBorderDxfId="82">
  <autoFilter ref="A4:B21" xr:uid="{A0BD0106-977A-4B15-9C53-C66CDF6772BD}">
    <filterColumn colId="0" hiddenButton="1"/>
    <filterColumn colId="1" hiddenButton="1"/>
  </autoFilter>
  <tableColumns count="2">
    <tableColumn id="1" xr3:uid="{31004191-352C-44A7-A242-30E88F4CD5ED}" name="Description of values generated" dataDxfId="81"/>
    <tableColumn id="2" xr3:uid="{C357CE45-1FD7-4EF9-804B-579D3A1CC1A7}" name="Values generated" dataDxfId="80"/>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164:A180" totalsRowShown="0" headerRowDxfId="79" dataDxfId="78">
  <autoFilter ref="A164:A180" xr:uid="{9FE37188-585B-4C8B-93B8-9D1740DB4F32}">
    <filterColumn colId="0" hiddenButton="1"/>
  </autoFilter>
  <tableColumns count="1">
    <tableColumn id="1" xr3:uid="{AE2C36C7-F303-4C5A-8166-779851025928}" name="Itchen Specific Landcover Types" dataDxfId="77"/>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144:A161" totalsRowShown="0" headerRowDxfId="76" dataDxfId="75">
  <autoFilter ref="A144:A161" xr:uid="{27E373C5-D0CE-42F2-9526-68F6C3493A4E}">
    <filterColumn colId="0" hiddenButton="1"/>
  </autoFilter>
  <tableColumns count="1">
    <tableColumn id="1" xr3:uid="{53B368C1-8BC9-40BE-BF12-2BD44CBABE8A}" name="All Possible Landcover Types" dataDxfId="7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139:B141" totalsRowShown="0" headerRowDxfId="73" dataDxfId="71" headerRowBorderDxfId="72" tableBorderDxfId="70" totalsRowBorderDxfId="69">
  <autoFilter ref="A139:B141" xr:uid="{92ED230A-D03F-4AFE-B6E2-A2C0CA247A6E}">
    <filterColumn colId="0" hiddenButton="1"/>
    <filterColumn colId="1" hiddenButton="1"/>
  </autoFilter>
  <tableColumns count="2">
    <tableColumn id="1" xr3:uid="{733091DA-D7C2-4BC5-B808-44E4059922C0}" name="NVZ" dataDxfId="68"/>
    <tableColumn id="2" xr3:uid="{F0C58FBC-95F8-49DE-8689-2F83AB0C11EB}" name="Farmscoper equivalent" dataDxfId="6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130:C136" totalsRowShown="0" headerRowDxfId="66" dataDxfId="64" headerRowBorderDxfId="65" tableBorderDxfId="63" totalsRowBorderDxfId="62">
  <autoFilter ref="A130:C136" xr:uid="{1A6CB2E1-69B4-4AD4-994C-659133C27DDB}">
    <filterColumn colId="0" hiddenButton="1"/>
    <filterColumn colId="1" hiddenButton="1"/>
    <filterColumn colId="2" hiddenButton="1"/>
  </autoFilter>
  <tableColumns count="3">
    <tableColumn id="1" xr3:uid="{22766906-A0A6-4E97-AF30-1597153F0350}" name="Soilscape drainage term" dataDxfId="61"/>
    <tableColumn id="2" xr3:uid="{F002BB36-823A-4836-A21B-B579E90BABD3}" name="Farmscoper term" dataDxfId="60"/>
    <tableColumn id="3" xr3:uid="{9175DC56-F38C-4D28-A172-11226D1D23E9}" name="Definition" dataDxfId="59"/>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126:B127" totalsRowShown="0" headerRowDxfId="58" dataDxfId="56" headerRowBorderDxfId="57" tableBorderDxfId="55" totalsRowBorderDxfId="54">
  <autoFilter ref="A126:B127" xr:uid="{91B3FB2B-EB57-4104-B68D-005ACE17DAAA}">
    <filterColumn colId="0" hiddenButton="1"/>
    <filterColumn colId="1" hiddenButton="1"/>
  </autoFilter>
  <tableColumns count="2">
    <tableColumn id="1" xr3:uid="{89EA0223-64FE-4218-878D-A564ADBADDD1}" name="Operational Catchment" dataDxfId="53"/>
    <tableColumn id="2" xr3:uid="{EFCB9C34-1A22-413A-B569-EB7D0539CE10}" name="Farmscoper equivalent" dataDxfId="5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00:K123" totalsRowShown="0" headerRowDxfId="51" dataDxfId="49" headerRowBorderDxfId="50" tableBorderDxfId="48" totalsRowBorderDxfId="47">
  <autoFilter ref="A100:K123"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6"/>
    <tableColumn id="2" xr3:uid="{6314E66D-7991-4DDA-9A1D-1FE2961CCE28}" name="Mid" dataDxfId="45"/>
    <tableColumn id="3" xr3:uid="{0B72D170-B3FB-410B-B94E-238D55DCBE68}" name="Farmscoper Equivalent" dataDxfId="44"/>
    <tableColumn id="4" xr3:uid="{0F992BC0-BDCD-49A0-800D-DE9390E83D4D}" name="P Urban Runoff Coefficient " dataDxfId="43"/>
    <tableColumn id="5" xr3:uid="{CC4E8ED1-10B1-497F-85BB-B21C5930A734}" name="N Urban Runoff Coefficient (kg/ha/yr)" dataDxfId="42"/>
    <tableColumn id="6" xr3:uid="{8AA02858-4B6E-42E1-8EB2-D3C4BAB72698}" name="Residential P export coefficient (kg/ha/yr)" dataDxfId="41"/>
    <tableColumn id="7" xr3:uid="{24BE5444-EEC8-44A1-8B49-79261DDC1D84}" name="Commercial / industrial P export coefficient (kg/ha/yr)" dataDxfId="40"/>
    <tableColumn id="8" xr3:uid="{3D907FB1-AFBD-4D65-A7C1-7FCBDBA7E010}" name="Open urban P export coefficient (kg/ha/yr)" dataDxfId="39"/>
    <tableColumn id="9" xr3:uid="{659D953B-CEE1-475B-B79F-09EDE2124F89}" name="Residential N export coefficient (kg/ha/yr)" dataDxfId="38"/>
    <tableColumn id="10" xr3:uid="{B077E248-9579-43F2-9FD4-BCCA722D6FC1}" name="Commercial / industrial N export coefficient (kg/ha/yr)" dataDxfId="37"/>
    <tableColumn id="11" xr3:uid="{106BF2CF-BA30-4A6D-AF89-E886BEBDE8D6}" name="Open urban N export coefficient (kg/ha/yr)" dataDxfId="36"/>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15:M97" totalsRowShown="0" headerRowDxfId="35" dataDxfId="33" headerRowBorderDxfId="34" tableBorderDxfId="32" totalsRowBorderDxfId="31">
  <autoFilter ref="A15:M97"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30"/>
    <tableColumn id="2" xr3:uid="{B8D75754-E7F8-4B85-993C-7907E45F1CAE}" name="Farmscoper Farm Term" dataDxfId="29"/>
    <tableColumn id="3" xr3:uid="{EC77A0A4-C437-4818-A316-7C71A29A7121}" name="NVZ" dataDxfId="28"/>
    <tableColumn id="4" xr3:uid="{B98F73F4-9677-4844-877F-8A359508FB3B}" name="Climate" dataDxfId="27"/>
    <tableColumn id="5" xr3:uid="{7C621915-7D3D-4055-8347-C883D9EE99FE}" name="Farmscoper Soil Drainage Term" dataDxfId="26"/>
    <tableColumn id="6" xr3:uid="{4C66E893-8377-439B-93D4-1CE695F419C9}" name="Lookup" dataDxfId="25">
      <calculatedColumnFormula>"|"&amp;"|"&amp;"|"&amp;E16</calculatedColumnFormula>
    </tableColumn>
    <tableColumn id="7" xr3:uid="{CF6B9BF0-3AFB-4049-8321-66DDFD8F9508}" name="Phosphorus export coefficient" dataDxfId="24"/>
    <tableColumn id="8" xr3:uid="{EBD2571A-6A4E-4448-BEB2-CCC5A7E48254}" name="Nitrogen export coefficient" dataDxfId="23"/>
    <tableColumn id="9" xr3:uid="{96CC571C-13E4-474B-8016-76B1B26E6BAE}" name="Farm Lookup" dataDxfId="22"/>
    <tableColumn id="10" xr3:uid="{511A3753-F9BA-45C6-B34A-6CC17D10251D}" name="Mean P export of farm type and climate combination" dataDxfId="21"/>
    <tableColumn id="11" xr3:uid="{A4A4CA5F-B40A-4D96-B1F7-2F58E7D4D811}" name="Mean N export of farm type and climate combination" dataDxfId="20"/>
    <tableColumn id="12" xr3:uid="{6A6F3AA5-4A40-440E-9BBC-E26F5AF39750}" name="Mean P export of farm type" dataDxfId="19"/>
    <tableColumn id="13" xr3:uid="{EF05C3C7-DB49-4B8E-8C81-E6CFAC3E3633}" name="Mean N export of farm type" dataDxfId="18"/>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12" totalsRowShown="0" headerRowDxfId="17" dataDxfId="15" headerRowBorderDxfId="16" tableBorderDxfId="14" totalsRowBorderDxfId="13">
  <autoFilter ref="A4:J12"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2"/>
    <tableColumn id="2" xr3:uid="{1CC474C8-63E1-4F68-A098-5E908E40DA49}" name="Phosphorus, Total as P (mg/l)" dataDxfId="11"/>
    <tableColumn id="3" xr3:uid="{2E3488FB-E48E-4A15-AFE7-EF2D95C19F27}" name="Nitrogen, Total as N (mg/l)" dataDxfId="10"/>
    <tableColumn id="4" xr3:uid="{94BDE985-E688-430A-9815-4EDF1FE7157B}" name="Phosphorus, Total as P (mg/l), permit post 2025" dataDxfId="9"/>
    <tableColumn id="5" xr3:uid="{8BCC1398-9B1F-4574-ACC3-119FC5E35CA6}" name="Nitrogen, Total as N (mg/l), permit post 2025" dataDxfId="8"/>
    <tableColumn id="6" xr3:uid="{FB3CD2EC-3EEF-41C1-B41D-97FDFB83D5D0}" name="Nitrogen Total as N (mg/l) with deductible acceptable loading" dataDxfId="7"/>
    <tableColumn id="7" xr3:uid="{9B3BFA6C-4F51-4202-90EE-5C006B8C8234}" name="Nitrogen Total as N (mg/l), permit post 2025 with deductible acceptable loading" dataDxfId="6"/>
    <tableColumn id="8" xr3:uid="{9DBCCBAD-4CC8-4875-97C0-F8A3AEBAC4ED}" name="Phosphorus, Total as P (mg/l), permit post 2030" dataDxfId="5"/>
    <tableColumn id="9" xr3:uid="{2ECB18E0-10A3-40CD-8028-D953C18B8F89}" name="Nitrogen, Total as N (mg/l), permit post 2030" dataDxfId="4"/>
    <tableColumn id="10" xr3:uid="{24B4A2AC-A6BF-4E36-BBFF-D86ACA0C2387}" name="Nitrogen Total as N (mg/l), permit post 2030 with deductible acceptable loading" dataDxfId="3"/>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23"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8"/>
  <sheetViews>
    <sheetView topLeftCell="A3" zoomScaleNormal="100" workbookViewId="0"/>
  </sheetViews>
  <sheetFormatPr defaultColWidth="8.88671875" defaultRowHeight="15" x14ac:dyDescent="0.3"/>
  <cols>
    <col min="1" max="1" width="133.44140625" style="2" customWidth="1"/>
    <col min="2" max="2" width="44.88671875" style="2" customWidth="1"/>
    <col min="3" max="207" width="8.5546875" style="2" customWidth="1"/>
    <col min="208" max="16384" width="8.88671875" style="2"/>
  </cols>
  <sheetData>
    <row r="1" spans="1:2" ht="50.25" customHeight="1" x14ac:dyDescent="0.3">
      <c r="A1" s="1" t="s">
        <v>0</v>
      </c>
    </row>
    <row r="2" spans="1:2" ht="26.25" customHeight="1" x14ac:dyDescent="0.3">
      <c r="A2" s="3" t="s">
        <v>1</v>
      </c>
    </row>
    <row r="3" spans="1:2" ht="26.25" customHeight="1" x14ac:dyDescent="0.3">
      <c r="A3" s="3" t="s">
        <v>2</v>
      </c>
    </row>
    <row r="4" spans="1:2" ht="30.75" customHeight="1" x14ac:dyDescent="0.3">
      <c r="A4" s="3" t="s">
        <v>3</v>
      </c>
    </row>
    <row r="5" spans="1:2" ht="26.25" customHeight="1" x14ac:dyDescent="0.3">
      <c r="A5" s="3" t="s">
        <v>4</v>
      </c>
    </row>
    <row r="6" spans="1:2" ht="26.25" customHeight="1" x14ac:dyDescent="0.3">
      <c r="A6" s="3" t="s">
        <v>5</v>
      </c>
    </row>
    <row r="7" spans="1:2" ht="50.25" customHeight="1" x14ac:dyDescent="0.3">
      <c r="A7" s="3" t="s">
        <v>6</v>
      </c>
    </row>
    <row r="8" spans="1:2" ht="36" customHeight="1" x14ac:dyDescent="0.3">
      <c r="A8" s="3" t="s">
        <v>7</v>
      </c>
    </row>
    <row r="9" spans="1:2" ht="28.5" customHeight="1" x14ac:dyDescent="0.3">
      <c r="A9" s="4" t="s">
        <v>8</v>
      </c>
    </row>
    <row r="10" spans="1:2" ht="30" customHeight="1" x14ac:dyDescent="0.3">
      <c r="A10" s="5" t="s">
        <v>9</v>
      </c>
      <c r="B10" s="5" t="s">
        <v>10</v>
      </c>
    </row>
    <row r="11" spans="1:2" ht="20.25" customHeight="1" x14ac:dyDescent="0.3">
      <c r="A11" s="3" t="s">
        <v>11</v>
      </c>
      <c r="B11" s="6" t="s">
        <v>12</v>
      </c>
    </row>
    <row r="12" spans="1:2" ht="20.25" customHeight="1" x14ac:dyDescent="0.3">
      <c r="A12" s="3" t="s">
        <v>13</v>
      </c>
      <c r="B12" s="6" t="s">
        <v>14</v>
      </c>
    </row>
    <row r="13" spans="1:2" ht="20.25" customHeight="1" x14ac:dyDescent="0.3">
      <c r="A13" s="3" t="s">
        <v>15</v>
      </c>
      <c r="B13" s="6" t="s">
        <v>16</v>
      </c>
    </row>
    <row r="14" spans="1:2" ht="20.25" customHeight="1" x14ac:dyDescent="0.3">
      <c r="A14" s="3" t="s">
        <v>17</v>
      </c>
      <c r="B14" s="6" t="s">
        <v>18</v>
      </c>
    </row>
    <row r="15" spans="1:2" ht="20.25" customHeight="1" x14ac:dyDescent="0.3">
      <c r="A15" s="3" t="s">
        <v>19</v>
      </c>
      <c r="B15" s="6" t="s">
        <v>20</v>
      </c>
    </row>
    <row r="16" spans="1:2" ht="33" customHeight="1" x14ac:dyDescent="0.3">
      <c r="A16" s="4" t="s">
        <v>21</v>
      </c>
      <c r="B16" s="7"/>
    </row>
    <row r="17" spans="1:1" ht="20.25" customHeight="1" x14ac:dyDescent="0.3">
      <c r="A17" s="3" t="s">
        <v>22</v>
      </c>
    </row>
    <row r="18" spans="1:1" ht="36.75" customHeight="1" x14ac:dyDescent="0.3">
      <c r="A18" s="3" t="s">
        <v>23</v>
      </c>
    </row>
    <row r="19" spans="1:1" ht="36.75" customHeight="1" x14ac:dyDescent="0.3">
      <c r="A19" s="3" t="s">
        <v>24</v>
      </c>
    </row>
    <row r="20" spans="1:1" ht="63.75" customHeight="1" x14ac:dyDescent="0.3">
      <c r="A20" s="3" t="s">
        <v>25</v>
      </c>
    </row>
    <row r="21" spans="1:1" ht="33" customHeight="1" x14ac:dyDescent="0.3">
      <c r="A21" s="3" t="s">
        <v>26</v>
      </c>
    </row>
    <row r="22" spans="1:1" ht="18.75" customHeight="1" x14ac:dyDescent="0.3">
      <c r="A22" s="8" t="s">
        <v>27</v>
      </c>
    </row>
    <row r="23" spans="1:1" ht="32.25" customHeight="1" x14ac:dyDescent="0.3">
      <c r="A23" s="3" t="s">
        <v>28</v>
      </c>
    </row>
    <row r="24" spans="1:1" ht="21.75" customHeight="1" x14ac:dyDescent="0.3">
      <c r="A24" s="3" t="s">
        <v>29</v>
      </c>
    </row>
    <row r="25" spans="1:1" ht="36" customHeight="1" x14ac:dyDescent="0.3">
      <c r="A25" s="3" t="s">
        <v>30</v>
      </c>
    </row>
    <row r="26" spans="1:1" ht="51" customHeight="1" x14ac:dyDescent="0.3">
      <c r="A26" s="8" t="s">
        <v>31</v>
      </c>
    </row>
    <row r="27" spans="1:1" ht="34.5" customHeight="1" x14ac:dyDescent="0.3">
      <c r="A27" s="3" t="s">
        <v>32</v>
      </c>
    </row>
    <row r="28" spans="1:1" ht="36" customHeight="1" x14ac:dyDescent="0.3">
      <c r="A28" s="4" t="s">
        <v>33</v>
      </c>
    </row>
    <row r="29" spans="1:1" ht="20.25" customHeight="1" x14ac:dyDescent="0.3">
      <c r="A29" s="3" t="s">
        <v>34</v>
      </c>
    </row>
    <row r="30" spans="1:1" ht="50.25" customHeight="1" x14ac:dyDescent="0.3">
      <c r="A30" s="3" t="s">
        <v>35</v>
      </c>
    </row>
    <row r="31" spans="1:1" ht="51.75" customHeight="1" x14ac:dyDescent="0.3">
      <c r="A31" s="3" t="s">
        <v>36</v>
      </c>
    </row>
    <row r="32" spans="1:1" ht="151.5" customHeight="1" x14ac:dyDescent="0.3">
      <c r="A32" s="3" t="s">
        <v>37</v>
      </c>
    </row>
    <row r="33" spans="1:2" ht="45" x14ac:dyDescent="0.3">
      <c r="A33" s="3" t="s">
        <v>38</v>
      </c>
    </row>
    <row r="34" spans="1:2" ht="51" customHeight="1" x14ac:dyDescent="0.3">
      <c r="A34" s="3" t="s">
        <v>39</v>
      </c>
    </row>
    <row r="35" spans="1:2" ht="34.5" customHeight="1" x14ac:dyDescent="0.3">
      <c r="A35" s="3" t="s">
        <v>40</v>
      </c>
    </row>
    <row r="36" spans="1:2" ht="141" customHeight="1" x14ac:dyDescent="0.3">
      <c r="A36" s="3" t="s">
        <v>41</v>
      </c>
    </row>
    <row r="37" spans="1:2" ht="35.25" customHeight="1" x14ac:dyDescent="0.3">
      <c r="A37" s="4" t="s">
        <v>42</v>
      </c>
    </row>
    <row r="38" spans="1:2" ht="79.5" customHeight="1" x14ac:dyDescent="0.3">
      <c r="A38" s="3" t="s">
        <v>43</v>
      </c>
    </row>
    <row r="39" spans="1:2" ht="66.75" customHeight="1" x14ac:dyDescent="0.3">
      <c r="A39" s="8" t="s">
        <v>44</v>
      </c>
    </row>
    <row r="40" spans="1:2" ht="25.5" customHeight="1" x14ac:dyDescent="0.3">
      <c r="A40" s="8" t="s">
        <v>45</v>
      </c>
    </row>
    <row r="41" spans="1:2" ht="33.75" customHeight="1" x14ac:dyDescent="0.3">
      <c r="A41" s="4" t="s">
        <v>46</v>
      </c>
    </row>
    <row r="42" spans="1:2" ht="20.25" customHeight="1" x14ac:dyDescent="0.3">
      <c r="A42" s="5" t="s">
        <v>47</v>
      </c>
      <c r="B42" s="9"/>
    </row>
    <row r="43" spans="1:2" ht="33.75" customHeight="1" x14ac:dyDescent="0.3">
      <c r="A43" s="8" t="s">
        <v>48</v>
      </c>
      <c r="B43" s="7"/>
    </row>
    <row r="44" spans="1:2" ht="33.75" customHeight="1" x14ac:dyDescent="0.3">
      <c r="A44" s="8" t="s">
        <v>49</v>
      </c>
      <c r="B44" s="7"/>
    </row>
    <row r="45" spans="1:2" ht="33.75" customHeight="1" x14ac:dyDescent="0.3">
      <c r="A45" s="8" t="s">
        <v>50</v>
      </c>
      <c r="B45" s="7"/>
    </row>
    <row r="46" spans="1:2" ht="33.75" customHeight="1" x14ac:dyDescent="0.3">
      <c r="A46" s="8" t="s">
        <v>51</v>
      </c>
      <c r="B46" s="7"/>
    </row>
    <row r="47" spans="1:2" ht="28.5" customHeight="1" x14ac:dyDescent="0.3">
      <c r="A47" s="4" t="s">
        <v>52</v>
      </c>
    </row>
    <row r="48" spans="1:2" ht="51.75" customHeight="1" x14ac:dyDescent="0.3">
      <c r="A48" s="3" t="s">
        <v>53</v>
      </c>
    </row>
    <row r="49" spans="1:1" ht="203.25" customHeight="1" x14ac:dyDescent="0.3">
      <c r="A49" s="3" t="s">
        <v>54</v>
      </c>
    </row>
    <row r="50" spans="1:1" ht="22.5" customHeight="1" x14ac:dyDescent="0.3">
      <c r="A50" s="8" t="s">
        <v>55</v>
      </c>
    </row>
    <row r="51" spans="1:1" ht="39.75" customHeight="1" x14ac:dyDescent="0.3">
      <c r="A51" s="4" t="s">
        <v>56</v>
      </c>
    </row>
    <row r="52" spans="1:1" ht="36.75" customHeight="1" x14ac:dyDescent="0.3">
      <c r="A52" s="3" t="s">
        <v>57</v>
      </c>
    </row>
    <row r="53" spans="1:1" ht="217.5" customHeight="1" x14ac:dyDescent="0.3">
      <c r="A53" s="3" t="s">
        <v>58</v>
      </c>
    </row>
    <row r="54" spans="1:1" ht="39.75" customHeight="1" x14ac:dyDescent="0.3">
      <c r="A54" s="4" t="s">
        <v>59</v>
      </c>
    </row>
    <row r="55" spans="1:1" ht="35.25" customHeight="1" x14ac:dyDescent="0.3">
      <c r="A55" s="3" t="s">
        <v>60</v>
      </c>
    </row>
    <row r="56" spans="1:1" ht="23.25" customHeight="1" x14ac:dyDescent="0.3">
      <c r="A56" s="3" t="s">
        <v>61</v>
      </c>
    </row>
    <row r="57" spans="1:1" ht="39" customHeight="1" x14ac:dyDescent="0.3">
      <c r="A57" s="3" t="s">
        <v>62</v>
      </c>
    </row>
    <row r="68" spans="1:1" ht="15.6" x14ac:dyDescent="0.3">
      <c r="A68" s="10"/>
    </row>
  </sheetData>
  <sheetProtection algorithmName="SHA-512" hashValue="l8gRTsMn04eWNqkP8pKiikpUrJwuKJTmAVOru2E0vd9+9UypCYDk/eG0pKMhhIzUR5tldoJhay/LLIq8qE72yQ==" saltValue="rkBmMzEf7Ox+DKx7UNYs7A==" spinCount="100000" sheet="1" objects="1" scenarios="1"/>
  <hyperlinks>
    <hyperlink ref="B11" location="Nutrients_from_wastewater!A1" display="Nutrients from wastewater" xr:uid="{E36A1043-AB91-4942-BD3A-CCA4FEFDBABA}"/>
    <hyperlink ref="B12" location="Nutrients_from_current_land_use!A1" display="Nutrients from current land use" xr:uid="{CFF94702-FC5B-4FE0-9876-AD7BF54E11C4}"/>
    <hyperlink ref="B13" location="Nutrients_from_future_land_use!A1" display="Nutrients from future land use" xr:uid="{071ABFEB-913E-4634-A3E2-439DCBD9E445}"/>
    <hyperlink ref="B15" location="Final_nutrient_budgets!A1" display="Final_nutrient_budgets" xr:uid="{60A04C2C-8C4C-42F0-9154-88681F7D2227}"/>
    <hyperlink ref="B14" location="SuDS!A1" display="SuDS" xr:uid="{253465E3-58BA-4871-ADD4-19A1C27D809E}"/>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AA2CB10C-7836-4CA7-B9DC-5D5AA47DE5B3}"/>
    <hyperlink ref="A43" r:id="rId2" xr:uid="{91A82CDF-2DE9-44EE-9D9F-8696C406A4B1}"/>
    <hyperlink ref="A44" r:id="rId3" location="." xr:uid="{431BE82E-B1C9-42C6-AB7E-69DB0402F1A5}"/>
    <hyperlink ref="A45" r:id="rId4" xr:uid="{0C6A5F89-5BA0-4F05-AE7C-76B4F864FEFD}"/>
    <hyperlink ref="A46" r:id="rId5" xr:uid="{C0FB5074-C21E-4496-AAC1-9B23FD26BD2C}"/>
    <hyperlink ref="A22" r:id="rId6" xr:uid="{7883CAC7-E512-49BB-AC82-2F72104A5A78}"/>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068E7038-F672-49E5-A98D-4F194EA81F26}"/>
    <hyperlink ref="A40" r:id="rId8" xr:uid="{F7B079BD-092F-4014-AC0A-E00CD9570625}"/>
    <hyperlink ref="A50" r:id="rId9" xr:uid="{4534ACA6-9E99-479D-8B18-9D9742679FE3}"/>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9"/>
  <sheetViews>
    <sheetView topLeftCell="A4" zoomScaleNormal="100" workbookViewId="0">
      <selection activeCell="A32" sqref="A32"/>
    </sheetView>
  </sheetViews>
  <sheetFormatPr defaultColWidth="9.33203125" defaultRowHeight="15" x14ac:dyDescent="0.25"/>
  <cols>
    <col min="1" max="1" width="125.109375" style="12" customWidth="1"/>
    <col min="2" max="2" width="24.33203125" style="12" customWidth="1"/>
    <col min="3" max="3" width="23.5546875" style="12" customWidth="1"/>
    <col min="4" max="6" width="30.5546875" style="12" customWidth="1"/>
    <col min="7" max="360" width="8.5546875" style="12" customWidth="1"/>
    <col min="361" max="16384" width="9.33203125" style="12"/>
  </cols>
  <sheetData>
    <row r="1" spans="1:3" ht="50.25" customHeight="1" x14ac:dyDescent="0.25">
      <c r="A1" s="11" t="s">
        <v>12</v>
      </c>
    </row>
    <row r="2" spans="1:3" ht="409.35" customHeight="1" x14ac:dyDescent="0.25">
      <c r="A2" s="97" t="s">
        <v>63</v>
      </c>
    </row>
    <row r="3" spans="1:3" ht="37.5" customHeight="1" x14ac:dyDescent="0.25">
      <c r="A3" s="4" t="s">
        <v>64</v>
      </c>
      <c r="B3" s="10"/>
      <c r="C3" s="2"/>
    </row>
    <row r="4" spans="1:3" ht="51" customHeight="1" x14ac:dyDescent="0.25">
      <c r="A4" s="5" t="s">
        <v>65</v>
      </c>
      <c r="B4" s="14" t="s">
        <v>66</v>
      </c>
      <c r="C4" s="15" t="s">
        <v>67</v>
      </c>
    </row>
    <row r="5" spans="1:3" ht="18.75" customHeight="1" x14ac:dyDescent="0.25">
      <c r="A5" s="3" t="s">
        <v>68</v>
      </c>
      <c r="B5" s="16">
        <v>47058</v>
      </c>
      <c r="C5" s="49"/>
    </row>
    <row r="6" spans="1:3" ht="18.75" customHeight="1" x14ac:dyDescent="0.25">
      <c r="A6" s="3" t="s">
        <v>69</v>
      </c>
      <c r="B6" s="17">
        <v>2.4</v>
      </c>
      <c r="C6" s="49"/>
    </row>
    <row r="7" spans="1:3" ht="18.75" customHeight="1" x14ac:dyDescent="0.25">
      <c r="A7" s="3" t="s">
        <v>70</v>
      </c>
      <c r="B7" s="18">
        <v>110</v>
      </c>
      <c r="C7" s="49"/>
    </row>
    <row r="8" spans="1:3" ht="18.75" customHeight="1" x14ac:dyDescent="0.25">
      <c r="A8" s="3" t="s">
        <v>71</v>
      </c>
      <c r="B8" s="18">
        <v>245</v>
      </c>
      <c r="C8" s="49"/>
    </row>
    <row r="9" spans="1:3" ht="18.75" customHeight="1" x14ac:dyDescent="0.25">
      <c r="A9" s="3" t="s">
        <v>72</v>
      </c>
      <c r="B9" s="18" t="s">
        <v>243</v>
      </c>
      <c r="C9" s="49"/>
    </row>
    <row r="10" spans="1:3" ht="45" customHeight="1" x14ac:dyDescent="0.25">
      <c r="A10" s="3" t="s">
        <v>73</v>
      </c>
      <c r="B10" s="18" t="s">
        <v>139</v>
      </c>
      <c r="C10" s="49"/>
    </row>
    <row r="11" spans="1:3" ht="45" customHeight="1" x14ac:dyDescent="0.25">
      <c r="A11" s="3" t="s">
        <v>74</v>
      </c>
      <c r="B11" s="58">
        <f>(IFERROR(IF(OR(B10="Package Treatment Plant user defined",B10="Septic Tank user defined"),"Enter value in cell C11",IF(Nutrients_from_wastewater!B5&lt;DATE(2025,1,1),VLOOKUP(Nutrients_from_wastewater!B10,Value_look_up_tables!A5:J13,2,FALSE),IF(Nutrients_from_wastewater!B5&lt;DATE(2030,4,1),VLOOKUP(Nutrients_from_wastewater!B10,Value_look_up_tables!A5:J13,4,FALSE),VLOOKUP(Nutrients_from_wastewater!B10,Value_look_up_tables!A5:J12,8,FALSE)))),0))</f>
        <v>0.6</v>
      </c>
      <c r="C11" s="98"/>
    </row>
    <row r="12" spans="1:3" ht="45" customHeight="1" x14ac:dyDescent="0.25">
      <c r="A12" s="3" t="s">
        <v>75</v>
      </c>
      <c r="B12" s="58">
        <f>IFERROR(IF(OR(B10="Package Treatment Plant user defined",B10="Septic Tank user defined"),"Enter value in cell C12",IF(AND(B5&lt;DATE(2025,1,1),B9="Yes"),VLOOKUP(B10,Value_look_up_tables!$A$5:$J$12,6,FALSE),IF(AND(B5&lt;DATE(2025,1,1),OR(B9="No",B9="")),VLOOKUP(B10,Value_look_up_tables!$A$5:$J$12,3,FALSE),IF(AND(B5&lt;DATE(2030,4,1),B5&gt;=DATE(2025,1,1),B9="Yes"),VLOOKUP(B10,Value_look_up_tables!$A$5:$J$12,7,FALSE),IF(AND(B5&lt;DATE(2030,4,1),B5&gt;=DATE(2025,1,1),OR(B9="No",B9="")),IF(AND(B5&lt;DATE(2030,4,1),B9="Yes"),VLOOKUP(B10,Value_look_up_tables!$A$5:$J$12,6,FALSE),IF(AND(B5&lt;DATE(2030,4,1),OR(B9="No",B9="")),VLOOKUP(B10,Value_look_up_tables!$A$5:$J$12,5,FALSE),IF(AND(B5&gt;=DATE(2030,4,1),B9="Yes"),VLOOKUP(B10,Value_look_up_tables!$A$5:$J$12,10,FALSE),IF(AND(B5&gt;=DATE(2030,4,1),OR(B9="No",B9="")),VLOOKUP(B10,Value_look_up_tables!$A$5:$J$12,9,FALSE),"")))),IF(B9="Yes",VLOOKUP(B10,Value_look_up_tables!$A$5:$J$12,10,FALSE),VLOOKUP(B10,Value_look_up_tables!$A$5:$J$12,9,FALSE))))))),0)</f>
        <v>25</v>
      </c>
      <c r="C12" s="98"/>
    </row>
    <row r="13" spans="1:3" ht="18.75" customHeight="1" x14ac:dyDescent="0.25">
      <c r="A13" s="3" t="str">
        <f>IFERROR(IF(AND($B$5&lt;DATE(2025,1,1),(VLOOKUP($B$10,Value_look_up_tables!$A$5:$E$10,2,FALSE))&gt;(VLOOKUP($B$10,Value_look_up_tables!$A$5:$E$10,4,FALSE))), "Post 2025 WwTW P permit (mg TP/litre):","Not applicable"),"Not applicable")</f>
        <v>Not applicable</v>
      </c>
      <c r="B13" s="19" t="str">
        <f>IFERROR(IF(AND($B$5&lt;DATE(2025,1,1),(VLOOKUP($B$10,Value_look_up_tables!$A$5:$E$10,2,FALSE))&gt;(VLOOKUP($B$10,Value_look_up_tables!$A$5:$E$10,4,FALSE))), VLOOKUP($B$10,Value_look_up_tables!A5:E13,4,FALSE),"Not applicable"),"Not applicable")</f>
        <v>Not applicable</v>
      </c>
      <c r="C13" s="49"/>
    </row>
    <row r="14" spans="1:3" ht="18.75" customHeight="1" x14ac:dyDescent="0.25">
      <c r="A14" s="3" t="str">
        <f>IFERROR(IF(AND($B$5&lt;DATE(2025,1,1),(VLOOKUP($B$10,Value_look_up_tables!$A$5:$E$10,3,FALSE))&gt;(VLOOKUP($B$10,Value_look_up_tables!$A$5:$E$10,5,FALSE))), "Post 2025 WwTW N permit (mg TN/litre):","Not applicable"),"Not applicable")</f>
        <v>Not applicable</v>
      </c>
      <c r="B14" s="19" t="str">
        <f>IFERROR(IF(AND($B$5&lt;DATE(2025,1,1),(VLOOKUP($B$10,Value_look_up_tables!$A$5:$J$10,3,FALSE))&gt;(VLOOKUP($B$10,Value_look_up_tables!$A$5:$J$10,5,FALSE))), IF(B9="Yes",VLOOKUP(B10,Value_look_up_tables!$A$5:$J$13,7,FALSE),VLOOKUP(B10,Value_look_up_tables!$A$5:$J$13,5,FALSE)),"Not applicable"),"Not applicable")</f>
        <v>Not applicable</v>
      </c>
      <c r="C14" s="49"/>
    </row>
    <row r="15" spans="1:3" ht="18.75" customHeight="1" x14ac:dyDescent="0.25">
      <c r="A15" s="3" t="str">
        <f>IFERROR(IF(AND($B$5&lt;DATE(2030,4,1),(VLOOKUP($B$10,Value_look_up_tables!$A$5:$J$10,4,FALSE))&gt;(VLOOKUP($B$10,Value_look_up_tables!$A$5:$J$10,8,FALSE))), "Post 2030 WwTW P permit (mg TP/litre):","Not applicable"),"Not applicable")</f>
        <v>Post 2030 WwTW P permit (mg TP/litre):</v>
      </c>
      <c r="B15" s="19">
        <f>IFERROR(IF(AND($B$5&lt;DATE(2030,4,1),(VLOOKUP($B$10,Value_look_up_tables!$A$5:$J$10,4,FALSE))&gt;(VLOOKUP($B$10,Value_look_up_tables!$A$5:$J$10,8,FALSE))), VLOOKUP($B$10,Value_look_up_tables!A5:J13,8,FALSE),"Not applicable"),"Not applicable")</f>
        <v>0.25</v>
      </c>
      <c r="C15" s="49"/>
    </row>
    <row r="16" spans="1:3" ht="18.75" customHeight="1" x14ac:dyDescent="0.25">
      <c r="A16" s="3" t="str">
        <f>IFERROR(IF(AND($B$5&lt;DATE(2030,4,1),(VLOOKUP($B$10,Value_look_up_tables!$A$5:$J$10,5,FALSE))&gt;(VLOOKUP($B$10,Value_look_up_tables!$A$5:$J$10,9,FALSE))), "Post 2030 WwTW N permit (mg TN/litre):","Not applicable"),"Not applicable")</f>
        <v>Post 2030 WwTW N permit (mg TN/litre):</v>
      </c>
      <c r="B16" s="20">
        <f>IFERROR(IF(AND($B$5&lt;DATE(2030,4,1),(VLOOKUP($B$10,Value_look_up_tables!$A$5:$J$10,5,FALSE))&gt;(VLOOKUP($B$10,Value_look_up_tables!$A$5:$J$10,9,FALSE))), IF(B9="Yes",VLOOKUP(B10,Value_look_up_tables!$A$5:$J$13,10,FALSE),VLOOKUP(B10,Value_look_up_tables!$A$5:$J$13,9,FALSE)),"Not applicable"),"Not applicable")</f>
        <v>8</v>
      </c>
      <c r="C16" s="49"/>
    </row>
    <row r="17" spans="1:3" ht="38.25" customHeight="1" x14ac:dyDescent="0.25">
      <c r="A17" s="4" t="s">
        <v>76</v>
      </c>
      <c r="B17" s="57"/>
    </row>
    <row r="18" spans="1:3" ht="21" customHeight="1" x14ac:dyDescent="0.25">
      <c r="A18" s="21" t="s">
        <v>77</v>
      </c>
      <c r="B18" s="14" t="s">
        <v>78</v>
      </c>
      <c r="C18" s="22"/>
    </row>
    <row r="19" spans="1:3" ht="18.75" customHeight="1" x14ac:dyDescent="0.25">
      <c r="A19" s="21" t="str">
        <f>IFERROR(IF(AND($B$5&lt;DATE(2030,4,1),OR((VLOOKUP($B$10,Value_look_up_tables!$A$5:$J$8,4,FALSE))&gt;=(VLOOKUP($B$10,Value_look_up_tables!$A$5:$J$8,8,FALSE)),(VLOOKUP($B$10,Value_look_up_tables!$A$5:$J$8,5,FALSE))&gt;=(VLOOKUP($B$10,Value_look_up_tables!$A$5:$J$8,9,FALSE)))),"Post-2030 wastewater nutrient loading",IF(AND($B$5&lt;DATE(2025,1,1),OR((VLOOKUP($B$10,Value_look_up_tables!$A$5:$E$8,2,FALSE))&gt;=(VLOOKUP($B$10,Value_look_up_tables!$A$5:$E$8,4,FALSE)),(VLOOKUP($B$10,Value_look_up_tables!$A$5:$E$8,3,FALSE))&gt;=(VLOOKUP($B$10,Value_look_up_tables!$A$5:$E$8,5,FALSE)))),"Post-2025 wastewater nutrient loading","Wastewater nutrient loading")),"Wastewater nutrient loading")</f>
        <v>Post-2030 wastewater nutrient loading</v>
      </c>
      <c r="B19" s="60"/>
    </row>
    <row r="20" spans="1:3" ht="18.75" customHeight="1" x14ac:dyDescent="0.25">
      <c r="A20" s="3" t="s">
        <v>79</v>
      </c>
      <c r="B20" s="55">
        <f>IF(ISBLANK(B8),0,B6*B8)</f>
        <v>588</v>
      </c>
    </row>
    <row r="21" spans="1:3" ht="18.75" customHeight="1" x14ac:dyDescent="0.25">
      <c r="A21" s="3" t="s">
        <v>80</v>
      </c>
      <c r="B21" s="56">
        <f>IFERROR(B20*B7,0)</f>
        <v>64680</v>
      </c>
    </row>
    <row r="22" spans="1:3" ht="18.75" customHeight="1" x14ac:dyDescent="0.25">
      <c r="A22" s="3" t="s">
        <v>81</v>
      </c>
      <c r="B22" s="56">
        <f>IFERROR(ROUND(IF(ISNUMBER(B15),B15*B21*0.9/1000000*365.25,IF(ISNUMBER(B13),B13*B21*0.9/1000000*365.25,IF(B11="Enter value in cell C11",IF(AND(B11="Enter value in cell C11",ISNUMBER(C11)),B21*C11/1000000*365.25, VLOOKUP((LEFT(B10,(LEN(B10)-13))&amp;" default"),Value_look_up_tables!$A$9:$C$10,2,FALSE)*B21/1000000*365.25),IF(OR(B10="Package Treatment Plant default",B10="Septic Tank default"),B11*B21/1000000*365.25,IF(B11=8,B11*B21/1000000*365.25,B11*B21*0.9/1000000*365.25))))),2),0)</f>
        <v>5.32</v>
      </c>
    </row>
    <row r="23" spans="1:3" ht="18.75" customHeight="1" x14ac:dyDescent="0.25">
      <c r="A23" s="3" t="s">
        <v>82</v>
      </c>
      <c r="B23" s="56">
        <f>IFERROR(ROUND(IF(ISNUMBER(B16),B16*B21*0.9/1000000*365.25,IF(ISNUMBER(B14),B14*B21*0.9/1000000*365.25,IF(B12="Enter value in cell C12",IF(AND(B12="Enter value in cell C12",ISNUMBER(C12)),B21*(IF(C12-2&lt;0,C12,C12-2))/1000000*365.25, VLOOKUP((LEFT(B10,(LEN(B10)-13))&amp;" default"),Value_look_up_tables!$A$9:$C$10,3,FALSE)*B21/1000000*365.25),IF(OR(B10="Package Treatment Plant default",B10="Septic Tank default"),B12*B21/1000000*365.25,IF(OR(AND(B12=25,B10&lt;&gt;"New Alresford WwTW"),B12=27),B12*B21/1000000*365.25,B12*B21*0.9/1000000*365.25))))),2),0)</f>
        <v>170.1</v>
      </c>
    </row>
    <row r="24" spans="1:3" ht="18.75" customHeight="1" x14ac:dyDescent="0.25">
      <c r="A24" s="21" t="str">
        <f>IFERROR(IF(AND($B$5&lt;DATE(2030,4,1),OR((VLOOKUP($B$10,Value_look_up_tables!$A$5:$J$8,4,FALSE))&gt;=(VLOOKUP($B$10,Value_look_up_tables!$A$5:$J$8,8,FALSE)),(VLOOKUP($B$10,Value_look_up_tables!$A$5:$J$8,5,FALSE))&gt;=(VLOOKUP($B$10,Value_look_up_tables!$A$5:$J$8,9,FALSE)))),"Pre-2030 wastewater nutrient loading",IF(AND($B$5&lt;DATE(2025,1,1),OR((VLOOKUP($B$10,Value_look_up_tables!$A$5:$E$8,2,FALSE))&gt;=(VLOOKUP($B$10,Value_look_up_tables!$A$5:$E$8,4,FALSE)),(VLOOKUP($B$10,Value_look_up_tables!$A$5:$E$8,3,FALSE))&gt;=(VLOOKUP($B$10,Value_look_up_tables!$A$5:$E$8,5,FALSE)))),"Pre-2025 wastewater nutrient loading","Not applicable")),"Not applicable")</f>
        <v>Pre-2030 wastewater nutrient loading</v>
      </c>
      <c r="B24" s="59"/>
    </row>
    <row r="25" spans="1:3" ht="18.75" customHeight="1" x14ac:dyDescent="0.25">
      <c r="A25"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TP load (kg TP/yr):","Not applicable"),"Not applicable")</f>
        <v>Annual wastewater TP load (kg TP/yr):</v>
      </c>
      <c r="B25"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13),IF(B13=8,(B13*B$21)/1000000*365.25,(B13*B$21*0.9)/1000000*365.25),IF(B11=8,(B11*B$21)/1000000*365.25,(B11*B$21*0.9)/1000000*365.25)),"Not applicable"),2),"Not applicable")</f>
        <v>12.76</v>
      </c>
    </row>
    <row r="26" spans="1:3" ht="18.75" customHeight="1" x14ac:dyDescent="0.25">
      <c r="A26" s="3" t="str">
        <f>IFERROR(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Annual wastewater TN load (kg TN/yr):","Not applicable"),"Not applicable")</f>
        <v>Annual wastewater TN load (kg TN/yr):</v>
      </c>
      <c r="B26" s="23">
        <f>IFERROR(ROUND(IF(AND($B$5&lt;DATE(2030,4,1),OR((VLOOKUP($B$10,Value_look_up_tables!$A$5:$J$8,4,FALSE))&gt;=(VLOOKUP($B$10,Value_look_up_tables!$A$5:$J$8,8,FALSE)),(VLOOKUP($B$10,Value_look_up_tables!$A$5:$J$8,5,FALSE))&gt;=(VLOOKUP($B$10,Value_look_up_tables!$A$5:$J$8,9,FALSE)),(VLOOKUP($B$10,Value_look_up_tables!$A$5:$J$8,2,FALSE))&gt;=(VLOOKUP($B$10,Value_look_up_tables!$A$5:$J$8,8,FALSE)),(VLOOKUP($B$10,Value_look_up_tables!$A$5:$J$8,3,FALSE))&gt;=(VLOOKUP($B$10,Value_look_up_tables!$A$5:$J$8,9,FALSE)))),IF(ISNUMBER(B14),IF(OR(B14=27,AND(B14=25,B10&lt;&gt;"New Alresford WwTW")),(B14*B$21)/1000000*365.25,(B14*B$21*0.9)/1000000*365.25),IF(OR(B12=27,AND(B12=25,B10&lt;&gt;"New Alresford WwTW")),(B12*B$21)/1000000*365.25,(B12*B$21*0.9)/1000000*365.25)),"Not applicable"),2),"Not applicable")</f>
        <v>590.61</v>
      </c>
    </row>
    <row r="27" spans="1:3" ht="18.75" customHeight="1" x14ac:dyDescent="0.25">
      <c r="A27" s="21" t="str">
        <f>IFERROR(IF(AND($B$5&lt;DATE(2025,1,1),$B$5&lt;DATE(2030,4,1),OR((VLOOKUP($B$10,Value_look_up_tables!$A$5:$J$8,4,FALSE))&gt;=(VLOOKUP($B$10,Value_look_up_tables!$A$5:$J$8,8,FALSE)),(VLOOKUP($B$10,Value_look_up_tables!$A$5:$J$8,5,FALSE))&gt;=(VLOOKUP($B$10,Value_look_up_tables!$A$5:$J$8,9,FALSE)))),IF(AND(B28="Not applicable",B29="Not applicable"),"Not applicable","Pre-2025 wastewater nutrient loading"),IF(AND($B$5&lt;DATE(2025,1,1),OR((VLOOKUP($B$10,Value_look_up_tables!$A$5:$E$8,2,FALSE))&gt;=(VLOOKUP($B$10,Value_look_up_tables!$A$5:$E$8,4,FALSE)),(VLOOKUP($B$10,Value_look_up_tables!$A$5:$E$8,3,FALSE))&gt;=(VLOOKUP($B$10,Value_look_up_tables!$A$5:$E$8,5,FALSE)))),"Wastewater nutrient loading","Not applicable")),"Not applicable")</f>
        <v>Not applicable</v>
      </c>
      <c r="B27" s="59"/>
    </row>
    <row r="28" spans="1:3" ht="18.75" customHeight="1" x14ac:dyDescent="0.25">
      <c r="A28" s="3" t="str">
        <f>IFERROR(IF(AND($B$5&lt;DATE(2025,1,1),OR((VLOOKUP($B$10,Value_look_up_tables!$A$5:$E$8,2,FALSE))&gt;(VLOOKUP($B$10,Value_look_up_tables!$A$5:$E$8,4,FALSE)),(VLOOKUP($B$10,Value_look_up_tables!$A$5:$E$8,3,FALSE))&gt;(VLOOKUP($B$10,Value_look_up_tables!$A$5:$E$8,5,FALSE)))),"Annual wastewater TP load (kg TP/yr):","Not applicable"),"Not applicable")</f>
        <v>Not applicable</v>
      </c>
      <c r="B28"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13),IF(B11=8,(B11*B$21)/1000000*365.25,(B11*B$21*0.9)/1000000*365.25),IF(B13=8,(B13*B$21)/1000000*365.25,(B13*B$21*0.9)/1000000*365.25)),"Not applicable"),2),IF(ISNUMBER(B14),B26,"Not applicable"))</f>
        <v>Not applicable</v>
      </c>
    </row>
    <row r="29" spans="1:3" ht="18.75" customHeight="1" x14ac:dyDescent="0.25">
      <c r="A29" s="3" t="str">
        <f>IFERROR(IF(AND($B$5&lt;DATE(2025,1,1),OR((VLOOKUP($B$10,Value_look_up_tables!$A$5:$E$8,2,FALSE))&gt;(VLOOKUP($B$10,Value_look_up_tables!$A$5:$E$8,4,FALSE)),(VLOOKUP($B$10,Value_look_up_tables!$A$5:$E$8,3,FALSE))&gt;(VLOOKUP($B$10,Value_look_up_tables!$A$5:$E$8,5,FALSE)))),"Annual wastewater TN load (kg TN/yr):","Not applicable"),"Not applicable")</f>
        <v>Not applicable</v>
      </c>
      <c r="B29" s="23" t="str">
        <f>IFERROR(ROUND(IF(AND($B$5&lt;DATE(2025,1,1),$B$5&lt;DATE(2030,4,1),OR((VLOOKUP($B$10,Value_look_up_tables!$A$5:$J$8,4,FALSE))&gt;=(VLOOKUP($B$10,Value_look_up_tables!$A$5:$J$8,8,FALSE)),(VLOOKUP($B$10,Value_look_up_tables!$A$5:$J$8,5,FALSE))&gt;=(VLOOKUP($B$10,Value_look_up_tables!$A$5:$J$8,9,FALSE)),(VLOOKUP($B$10,Value_look_up_tables!$A$5:$J$8,2,FALSE))&gt;=(VLOOKUP($B$10,Value_look_up_tables!$A$5:$J$8,4,FALSE)),(VLOOKUP($B$10,Value_look_up_tables!$A$5:$J$8,3,FALSE))&gt;=(VLOOKUP($B$10,Value_look_up_tables!$A$5:$J$8,5,FALSE)))),IF(ISNUMBER(B14),IF(OR(B12=27,AND(B12=25,B10&lt;&gt;"New Alresford WwTW")),(B12*B$21)/1000000*365.25,(B12*B$21*0.9)/1000000*365.25),IF(OR(B14=27,AND(B14=25,B10&lt;&gt;"New Alresford WwTW")),(B14*B$21)/1000000*365.25,(B14*B$21*0.9)/1000000*365.25)),"Not applicable"),2),IF(ISNUMBER(B13),B26,"Not applicable"))</f>
        <v>Not applicable</v>
      </c>
    </row>
  </sheetData>
  <sheetProtection algorithmName="SHA-512" hashValue="LelNTgoKEbhQzrwjBAmCn0pDeZSJxr6RffPGJkXaKDyc0thNAeCisEoAQW2t22oSw9ipcCjIYpuewqGb3x63ew==" saltValue="+Z0iAW43DaOWEHudaaozs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3" type="noConversion"/>
  <conditionalFormatting sqref="C11">
    <cfRule type="expression" dxfId="2" priority="2">
      <formula>$B$11="Enter value in cell C11"</formula>
    </cfRule>
  </conditionalFormatting>
  <conditionalFormatting sqref="C12">
    <cfRule type="expression" dxfId="1" priority="1">
      <formula>$B$12="Enter value in cell C12"</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C12"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Value_look_up_tables!$A$5:$A$12</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Value_look_up_tables!$A$140:$A$141</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G30"/>
  <sheetViews>
    <sheetView topLeftCell="A8" zoomScaleNormal="100" workbookViewId="0">
      <selection activeCell="A11" sqref="A11:B12"/>
    </sheetView>
  </sheetViews>
  <sheetFormatPr defaultColWidth="9.109375" defaultRowHeight="15" x14ac:dyDescent="0.3"/>
  <cols>
    <col min="1" max="1" width="89.44140625" style="2" customWidth="1"/>
    <col min="2" max="2" width="30.33203125" style="2" customWidth="1"/>
    <col min="3" max="3" width="21.109375" style="2" customWidth="1"/>
    <col min="4" max="4" width="19.88671875" style="2" customWidth="1"/>
    <col min="5" max="5" width="76.6640625" style="2" customWidth="1"/>
    <col min="6" max="387" width="8.5546875" style="2" customWidth="1"/>
    <col min="388" max="16383" width="9.109375" style="2" customWidth="1"/>
    <col min="16384" max="16384" width="9.109375" style="2"/>
  </cols>
  <sheetData>
    <row r="1" spans="1:7" ht="49.5" customHeight="1" x14ac:dyDescent="0.3">
      <c r="A1" s="11" t="s">
        <v>14</v>
      </c>
      <c r="B1" s="10"/>
      <c r="C1" s="10"/>
      <c r="D1" s="10"/>
      <c r="E1" s="10"/>
    </row>
    <row r="2" spans="1:7" ht="409.5" customHeight="1" x14ac:dyDescent="0.3">
      <c r="A2" s="97" t="s">
        <v>83</v>
      </c>
      <c r="B2" s="10"/>
      <c r="C2" s="10"/>
      <c r="D2" s="10"/>
      <c r="E2" s="10"/>
      <c r="F2" s="10"/>
    </row>
    <row r="3" spans="1:7" ht="51" customHeight="1" x14ac:dyDescent="0.3">
      <c r="A3" s="4" t="s">
        <v>84</v>
      </c>
      <c r="B3" s="10"/>
      <c r="C3" s="10"/>
      <c r="D3" s="10"/>
    </row>
    <row r="4" spans="1:7" ht="50.25" customHeight="1" x14ac:dyDescent="0.3">
      <c r="A4" s="24" t="s">
        <v>65</v>
      </c>
      <c r="B4" s="25" t="s">
        <v>66</v>
      </c>
      <c r="C4" s="10"/>
      <c r="D4" s="10"/>
    </row>
    <row r="5" spans="1:7" ht="23.25" customHeight="1" x14ac:dyDescent="0.3">
      <c r="A5" s="26" t="s">
        <v>85</v>
      </c>
      <c r="B5" s="27" t="s">
        <v>161</v>
      </c>
      <c r="C5" s="28"/>
      <c r="G5" s="29"/>
    </row>
    <row r="6" spans="1:7" ht="23.25" customHeight="1" x14ac:dyDescent="0.3">
      <c r="A6" s="26" t="s">
        <v>86</v>
      </c>
      <c r="B6" s="30" t="s">
        <v>235</v>
      </c>
      <c r="C6" s="28"/>
    </row>
    <row r="7" spans="1:7" ht="23.25" customHeight="1" x14ac:dyDescent="0.3">
      <c r="A7" s="26" t="s">
        <v>87</v>
      </c>
      <c r="B7" s="31" t="s">
        <v>210</v>
      </c>
      <c r="C7" s="28"/>
    </row>
    <row r="8" spans="1:7" ht="23.25" customHeight="1" x14ac:dyDescent="0.3">
      <c r="A8" s="32" t="s">
        <v>88</v>
      </c>
      <c r="B8" s="33" t="s">
        <v>243</v>
      </c>
      <c r="C8" s="28"/>
    </row>
    <row r="9" spans="1:7" ht="51" customHeight="1" x14ac:dyDescent="0.3">
      <c r="A9" s="4" t="s">
        <v>89</v>
      </c>
      <c r="B9" s="34"/>
      <c r="C9" s="28"/>
    </row>
    <row r="10" spans="1:7" ht="68.099999999999994" customHeight="1" x14ac:dyDescent="0.3">
      <c r="A10" s="14" t="s">
        <v>90</v>
      </c>
      <c r="B10" s="15" t="s">
        <v>91</v>
      </c>
      <c r="C10" s="15" t="s">
        <v>92</v>
      </c>
      <c r="D10" s="15" t="s">
        <v>93</v>
      </c>
      <c r="E10" s="25" t="s">
        <v>94</v>
      </c>
      <c r="G10" s="29"/>
    </row>
    <row r="11" spans="1:7" ht="37.5" customHeight="1" x14ac:dyDescent="0.3">
      <c r="A11" s="18"/>
      <c r="B11" s="35"/>
      <c r="C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$97,2,FALSE),
IFERROR(IFERROR($B11*VLOOKUP($A11&amp;"|"&amp;VLOOKUP(Nutrients_from_current_land_use!$B$8,Value_look_up_tables!$A$140:$B$141,2,FALSE)&amp;"|"&amp;VLOOKUP(Nutrients_from_current_land_use!$B$7,Value_look_up_tables!$A$101:$C$123,3,FALSE)&amp;"|"&amp;VLOOKUP($B$6,Value_look_up_tables!$A$131:$B$136,2,FALSE),Value_look_up_tables!$F$16:$H$97,2,FALSE),IFERROR($B11*VLOOKUP($A11&amp;"|"&amp;"TRUE"&amp;"|"&amp;VLOOKUP(Nutrients_from_current_land_use!$B$7,Value_look_up_tables!$A$101:$C$123,3,FALSE)&amp;"|"&amp;VLOOKUP($B$6,Value_look_up_tables!$A$131:$B$136,2,FALSE),Value_look_up_tables!$F$16:$H$97,2,FALSE),$B11*VLOOKUP($A11&amp;"|"&amp;VLOOKUP(Nutrients_from_current_land_use!$B$8,Value_look_up_tables!$A$140:$B$141,2,FALSE)&amp;"|"&amp;VLOOKUP(Nutrients_from_current_land_use!$B$7,Value_look_up_tables!$A$101:$C$123,3,FALSE)&amp;"|"&amp;"DrainedArGr",Value_look_up_tables!$F$16:$H$97,2,FALSE))),IFERROR($B11*VLOOKUP($A11&amp;"|"&amp;VLOOKUP(Nutrients_from_current_land_use!$B$7,Value_look_up_tables!$A$101:$C$123,3,FALSE),Value_look_up_tables!$I$16:$K$89,2,FALSE),$B11*VLOOKUP($A11,Value_look_up_tables!$B$16:$M$89,11,FALSE)))))</f>
        <v>0</v>
      </c>
      <c r="D11" s="36">
        <f>IF(OR(ISBLANK($A11),ISBLANK($B11),ISBLANK($B$6),ISBLANK($B$7)),0,IFERROR($B11*VLOOKUP((IF(OR($A11="Residential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B$6,Value_look_up_tables!$A$131:$B$136,2,FALSE)))),Value_look_up_tables!$F$16:$H$97,3,FALSE),
IFERROR(IFERROR($B11*VLOOKUP($A11&amp;"|"&amp;VLOOKUP(Nutrients_from_current_land_use!$B$8,Value_look_up_tables!$A$140:$B$141,2,FALSE)&amp;"|"&amp;VLOOKUP(Nutrients_from_current_land_use!$B$7,Value_look_up_tables!$A$101:$C$123,3,FALSE)&amp;"|"&amp;VLOOKUP($B$6,Value_look_up_tables!$A$131:$B$136,2,FALSE),Value_look_up_tables!$F$16:$H$97,3,FALSE),IFERROR($B11*VLOOKUP($A11&amp;"|"&amp;"TRUE"&amp;"|"&amp;VLOOKUP(Nutrients_from_current_land_use!$B$7,Value_look_up_tables!$A$101:$C$123,3,FALSE)&amp;"|"&amp;VLOOKUP($B$6,Value_look_up_tables!$A$131:$B$136,2,FALSE),Value_look_up_tables!$F$16:$H$97,3,FALSE),$B11*VLOOKUP($A11&amp;"|"&amp;VLOOKUP(Nutrients_from_current_land_use!$B$8,Value_look_up_tables!$A$140:$B$141,2,FALSE)&amp;"|"&amp;VLOOKUP(Nutrients_from_current_land_use!$B$7,Value_look_up_tables!$A$101:$C$123,3,FALSE)&amp;"|"&amp;"DrainedArGr",Value_look_up_tables!$F$16:$H$97,3,FALSE))),IFERROR($B11*VLOOKUP($A11&amp;"|"&amp;VLOOKUP(Nutrients_from_current_land_use!$B$7,Value_look_up_tables!$A$101:$C$123,3,FALSE),Value_look_up_tables!$I$16:$K$89,3,FALSE),$B11*VLOOKUP($A11,Value_look_up_tables!$B$16:$M$89,12,FALSE)))))</f>
        <v>0</v>
      </c>
      <c r="E11" s="37" t="str">
        <f>IF(OR(ISBLANK($A11),ISBLANK($B11),ISBLANK($B$6),ISBLANK($B$5),ISBLANK($B$7),$A11="Residential urban land",$A11="Commercial/industrial urban land",$A11="Open urban land",$A11="Greenspace",$A11="Community food growing",$A11="Woodland",$A11="Shrub",$A11="Water"),"Not applicable",IF(ISNUMBER(IFERROR($B11*VLOOKUP((IF(OR($A11="Residential urban land",$A11="Commercial/industrial urban land",$A11="Open urban land",$A11="Greenspace",$A11="Community food growing",$A11="Woodland",$A11="Shrub",$A11="Water"),"|||"&amp;$A11,(VLOOKUP(Nutrients_from_current_land_use!$B$5,Value_look_up_tables!$A$127:$B$127,2,FALSE)&amp;"|"&amp;$A11&amp;"|"&amp;VLOOKUP(Nutrients_from_current_land_use!$B$8,Value_look_up_tables!$A$140:$B$141,2,FALSE)&amp;"|"&amp;VLOOKUP(Nutrients_from_current_land_use!$B$7, Value_look_up_tables!$A$101:$C$123,3,FALSE)&amp;"|"&amp;VLOOKUP($B$6,Value_look_up_tables!$A$131:$B$136,2,FALSE)))), Value_look_up_tables!$F$16:$H$89,3,FALSE),IFERROR($B11*VLOOKUP($A11&amp;"|"&amp;VLOOKUP(Nutrients_from_current_land_use!$B$8,Value_look_up_tables!$A$140:$B$141,2,FALSE)&amp;"|"&amp;VLOOKUP(Nutrients_from_current_land_use!$B$7,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7" ht="37.5" customHeight="1" x14ac:dyDescent="0.3">
      <c r="A12" s="18"/>
      <c r="B12" s="35"/>
      <c r="C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$97,2,FALSE),
IFERROR(IFERROR($B12*VLOOKUP($A12&amp;"|"&amp;VLOOKUP(Nutrients_from_current_land_use!$B$8,Value_look_up_tables!$A$140:$B$141,2,FALSE)&amp;"|"&amp;VLOOKUP(Nutrients_from_current_land_use!$B$7,Value_look_up_tables!$A$101:$C$123,3,FALSE)&amp;"|"&amp;VLOOKUP($B$6,Value_look_up_tables!$A$131:$B$136,2,FALSE),Value_look_up_tables!$F$16:$H$97,2,FALSE),IFERROR($B12*VLOOKUP($A12&amp;"|"&amp;"TRUE"&amp;"|"&amp;VLOOKUP(Nutrients_from_current_land_use!$B$7,Value_look_up_tables!$A$101:$C$123,3,FALSE)&amp;"|"&amp;VLOOKUP($B$6,Value_look_up_tables!$A$131:$B$136,2,FALSE),Value_look_up_tables!$F$16:$H$97,2,FALSE),$B12*VLOOKUP($A12&amp;"|"&amp;VLOOKUP(Nutrients_from_current_land_use!$B$8,Value_look_up_tables!$A$140:$B$141,2,FALSE)&amp;"|"&amp;VLOOKUP(Nutrients_from_current_land_use!$B$7,Value_look_up_tables!$A$101:$C$123,3,FALSE)&amp;"|"&amp;"DrainedArGr",Value_look_up_tables!$F$16:$H$97,2,FALSE))),IFERROR($B12*VLOOKUP($A12&amp;"|"&amp;VLOOKUP(Nutrients_from_current_land_use!$B$7,Value_look_up_tables!$A$101:$C$123,3,FALSE),Value_look_up_tables!$I$16:$K$89,2,FALSE),$B12*VLOOKUP($A12,Value_look_up_tables!$B$16:$M$89,11,FALSE)))))</f>
        <v>0</v>
      </c>
      <c r="D12" s="36">
        <f>IF(OR(ISBLANK($A12),ISBLANK($B12),ISBLANK($B$6),ISBLANK($B$7)),0,IFERROR($B12*VLOOKUP((IF(OR($A12="Residential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B$6,Value_look_up_tables!$A$131:$B$136,2,FALSE)))),Value_look_up_tables!$F$16:$H$97,3,FALSE),
IFERROR(IFERROR($B12*VLOOKUP($A12&amp;"|"&amp;VLOOKUP(Nutrients_from_current_land_use!$B$8,Value_look_up_tables!$A$140:$B$141,2,FALSE)&amp;"|"&amp;VLOOKUP(Nutrients_from_current_land_use!$B$7,Value_look_up_tables!$A$101:$C$123,3,FALSE)&amp;"|"&amp;VLOOKUP($B$6,Value_look_up_tables!$A$131:$B$136,2,FALSE),Value_look_up_tables!$F$16:$H$97,3,FALSE),IFERROR($B12*VLOOKUP($A12&amp;"|"&amp;"TRUE"&amp;"|"&amp;VLOOKUP(Nutrients_from_current_land_use!$B$7,Value_look_up_tables!$A$101:$C$123,3,FALSE)&amp;"|"&amp;VLOOKUP($B$6,Value_look_up_tables!$A$131:$B$136,2,FALSE),Value_look_up_tables!$F$16:$H$97,3,FALSE),$B12*VLOOKUP($A12&amp;"|"&amp;VLOOKUP(Nutrients_from_current_land_use!$B$8,Value_look_up_tables!$A$140:$B$141,2,FALSE)&amp;"|"&amp;VLOOKUP(Nutrients_from_current_land_use!$B$7,Value_look_up_tables!$A$101:$C$123,3,FALSE)&amp;"|"&amp;"DrainedArGr",Value_look_up_tables!$F$16:$H$97,3,FALSE))),IFERROR($B12*VLOOKUP($A12&amp;"|"&amp;VLOOKUP(Nutrients_from_current_land_use!$B$7,Value_look_up_tables!$A$101:$C$123,3,FALSE),Value_look_up_tables!$I$16:$K$89,3,FALSE),$B12*VLOOKUP($A12,Value_look_up_tables!$B$16:$M$89,12,FALSE)))))</f>
        <v>0</v>
      </c>
      <c r="E12" s="37" t="str">
        <f>IF(OR(ISBLANK($A12),ISBLANK($B12),ISBLANK($B$6),ISBLANK($B$5),ISBLANK($B$7),$A12="Residential urban land",$A12="Commercial/industrial urban land",$A12="Open urban land",$A12="Greenspace",$A12="Community food growing",$A12="Woodland",$A12="Shrub",$A12="Water"),"Not applicable",IF(ISNUMBER(IFERROR($B12*VLOOKUP((IF(OR($A12="Residential urban land",$A12="Commercial/industrial urban land",$A12="Open urban land",$A12="Greenspace",$A12="Community food growing",$A12="Woodland",$A12="Shrub",$A12="Water"),"|||"&amp;$A12,(VLOOKUP(Nutrients_from_current_land_use!$B$5,Value_look_up_tables!$A$127:$B$127,2,FALSE)&amp;"|"&amp;$A12&amp;"|"&amp;VLOOKUP(Nutrients_from_current_land_use!$B$8,Value_look_up_tables!$A$140:$B$141,2,FALSE)&amp;"|"&amp;VLOOKUP(Nutrients_from_current_land_use!$B$7, Value_look_up_tables!$A$101:$C$123,3,FALSE)&amp;"|"&amp;VLOOKUP($B$6,Value_look_up_tables!$A$131:$B$136,2,FALSE)))), Value_look_up_tables!$F$16:$H$89,3,FALSE),IFERROR($B12*VLOOKUP($A12&amp;"|"&amp;VLOOKUP(Nutrients_from_current_land_use!$B$8,Value_look_up_tables!$A$140:$B$141,2,FALSE)&amp;"|"&amp;VLOOKUP(Nutrients_from_current_land_use!$B$7,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7" ht="37.5" customHeight="1" x14ac:dyDescent="0.3">
      <c r="A13" s="18"/>
      <c r="B13" s="35"/>
      <c r="C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$97,2,FALSE),
IFERROR(IFERROR($B13*VLOOKUP($A13&amp;"|"&amp;VLOOKUP(Nutrients_from_current_land_use!$B$8,Value_look_up_tables!$A$140:$B$141,2,FALSE)&amp;"|"&amp;VLOOKUP(Nutrients_from_current_land_use!$B$7,Value_look_up_tables!$A$101:$C$123,3,FALSE)&amp;"|"&amp;VLOOKUP($B$6,Value_look_up_tables!$A$131:$B$136,2,FALSE),Value_look_up_tables!$F$16:$H$97,2,FALSE),IFERROR($B13*VLOOKUP($A13&amp;"|"&amp;"TRUE"&amp;"|"&amp;VLOOKUP(Nutrients_from_current_land_use!$B$7,Value_look_up_tables!$A$101:$C$123,3,FALSE)&amp;"|"&amp;VLOOKUP($B$6,Value_look_up_tables!$A$131:$B$136,2,FALSE),Value_look_up_tables!$F$16:$H$97,2,FALSE),$B13*VLOOKUP($A13&amp;"|"&amp;VLOOKUP(Nutrients_from_current_land_use!$B$8,Value_look_up_tables!$A$140:$B$141,2,FALSE)&amp;"|"&amp;VLOOKUP(Nutrients_from_current_land_use!$B$7,Value_look_up_tables!$A$101:$C$123,3,FALSE)&amp;"|"&amp;"DrainedArGr",Value_look_up_tables!$F$16:$H$97,2,FALSE))),IFERROR($B13*VLOOKUP($A13&amp;"|"&amp;VLOOKUP(Nutrients_from_current_land_use!$B$7,Value_look_up_tables!$A$101:$C$123,3,FALSE),Value_look_up_tables!$I$16:$K$89,2,FALSE),$B13*VLOOKUP($A13,Value_look_up_tables!$B$16:$M$89,11,FALSE)))))</f>
        <v>0</v>
      </c>
      <c r="D13" s="36">
        <f>IF(OR(ISBLANK($A13),ISBLANK($B13),ISBLANK($B$6),ISBLANK($B$7)),0,IFERROR($B13*VLOOKUP((IF(OR($A13="Residential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B$6,Value_look_up_tables!$A$131:$B$136,2,FALSE)))),Value_look_up_tables!$F$16:$H$97,3,FALSE),
IFERROR(IFERROR($B13*VLOOKUP($A13&amp;"|"&amp;VLOOKUP(Nutrients_from_current_land_use!$B$8,Value_look_up_tables!$A$140:$B$141,2,FALSE)&amp;"|"&amp;VLOOKUP(Nutrients_from_current_land_use!$B$7,Value_look_up_tables!$A$101:$C$123,3,FALSE)&amp;"|"&amp;VLOOKUP($B$6,Value_look_up_tables!$A$131:$B$136,2,FALSE),Value_look_up_tables!$F$16:$H$97,3,FALSE),IFERROR($B13*VLOOKUP($A13&amp;"|"&amp;"TRUE"&amp;"|"&amp;VLOOKUP(Nutrients_from_current_land_use!$B$7,Value_look_up_tables!$A$101:$C$123,3,FALSE)&amp;"|"&amp;VLOOKUP($B$6,Value_look_up_tables!$A$131:$B$136,2,FALSE),Value_look_up_tables!$F$16:$H$97,3,FALSE),$B13*VLOOKUP($A13&amp;"|"&amp;VLOOKUP(Nutrients_from_current_land_use!$B$8,Value_look_up_tables!$A$140:$B$141,2,FALSE)&amp;"|"&amp;VLOOKUP(Nutrients_from_current_land_use!$B$7,Value_look_up_tables!$A$101:$C$123,3,FALSE)&amp;"|"&amp;"DrainedArGr",Value_look_up_tables!$F$16:$H$97,3,FALSE))),IFERROR($B13*VLOOKUP($A13&amp;"|"&amp;VLOOKUP(Nutrients_from_current_land_use!$B$7,Value_look_up_tables!$A$101:$C$123,3,FALSE),Value_look_up_tables!$I$16:$K$89,3,FALSE),$B13*VLOOKUP($A13,Value_look_up_tables!$B$16:$M$89,12,FALSE)))))</f>
        <v>0</v>
      </c>
      <c r="E13" s="37" t="str">
        <f>IF(OR(ISBLANK($A13),ISBLANK($B13),ISBLANK($B$6),ISBLANK($B$5),ISBLANK($B$7),$A13="Residential urban land",$A13="Commercial/industrial urban land",$A13="Open urban land",$A13="Greenspace",$A13="Community food growing",$A13="Woodland",$A13="Shrub",$A13="Water"),"Not applicable",IF(ISNUMBER(IFERROR($B13*VLOOKUP((IF(OR($A13="Residential urban land",$A13="Commercial/industrial urban land",$A13="Open urban land",$A13="Greenspace",$A13="Community food growing",$A13="Woodland",$A13="Shrub",$A13="Water"),"|||"&amp;$A13,(VLOOKUP(Nutrients_from_current_land_use!$B$5,Value_look_up_tables!$A$127:$B$127,2,FALSE)&amp;"|"&amp;$A13&amp;"|"&amp;VLOOKUP(Nutrients_from_current_land_use!$B$8,Value_look_up_tables!$A$140:$B$141,2,FALSE)&amp;"|"&amp;VLOOKUP(Nutrients_from_current_land_use!$B$7, Value_look_up_tables!$A$101:$C$123,3,FALSE)&amp;"|"&amp;VLOOKUP($B$6,Value_look_up_tables!$A$131:$B$136,2,FALSE)))), Value_look_up_tables!$F$16:$H$89,3,FALSE),IFERROR($B13*VLOOKUP($A13&amp;"|"&amp;VLOOKUP(Nutrients_from_current_land_use!$B$8,Value_look_up_tables!$A$140:$B$141,2,FALSE)&amp;"|"&amp;VLOOKUP(Nutrients_from_current_land_use!$B$7,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7" ht="37.5" customHeight="1" x14ac:dyDescent="0.3">
      <c r="A14" s="18"/>
      <c r="B14" s="35"/>
      <c r="C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$97,2,FALSE),
IFERROR(IFERROR($B14*VLOOKUP($A14&amp;"|"&amp;VLOOKUP(Nutrients_from_current_land_use!$B$8,Value_look_up_tables!$A$140:$B$141,2,FALSE)&amp;"|"&amp;VLOOKUP(Nutrients_from_current_land_use!$B$7,Value_look_up_tables!$A$101:$C$123,3,FALSE)&amp;"|"&amp;VLOOKUP($B$6,Value_look_up_tables!$A$131:$B$136,2,FALSE),Value_look_up_tables!$F$16:$H$97,2,FALSE),IFERROR($B14*VLOOKUP($A14&amp;"|"&amp;"TRUE"&amp;"|"&amp;VLOOKUP(Nutrients_from_current_land_use!$B$7,Value_look_up_tables!$A$101:$C$123,3,FALSE)&amp;"|"&amp;VLOOKUP($B$6,Value_look_up_tables!$A$131:$B$136,2,FALSE),Value_look_up_tables!$F$16:$H$97,2,FALSE),$B14*VLOOKUP($A14&amp;"|"&amp;VLOOKUP(Nutrients_from_current_land_use!$B$8,Value_look_up_tables!$A$140:$B$141,2,FALSE)&amp;"|"&amp;VLOOKUP(Nutrients_from_current_land_use!$B$7,Value_look_up_tables!$A$101:$C$123,3,FALSE)&amp;"|"&amp;"DrainedArGr",Value_look_up_tables!$F$16:$H$97,2,FALSE))),IFERROR($B14*VLOOKUP($A14&amp;"|"&amp;VLOOKUP(Nutrients_from_current_land_use!$B$7,Value_look_up_tables!$A$101:$C$123,3,FALSE),Value_look_up_tables!$I$16:$K$89,2,FALSE),$B14*VLOOKUP($A14,Value_look_up_tables!$B$16:$M$89,11,FALSE)))))</f>
        <v>0</v>
      </c>
      <c r="D14" s="36">
        <f>IF(OR(ISBLANK($A14),ISBLANK($B14),ISBLANK($B$6),ISBLANK($B$7)),0,IFERROR($B14*VLOOKUP((IF(OR($A14="Residential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B$6,Value_look_up_tables!$A$131:$B$136,2,FALSE)))),Value_look_up_tables!$F$16:$H$97,3,FALSE),
IFERROR(IFERROR($B14*VLOOKUP($A14&amp;"|"&amp;VLOOKUP(Nutrients_from_current_land_use!$B$8,Value_look_up_tables!$A$140:$B$141,2,FALSE)&amp;"|"&amp;VLOOKUP(Nutrients_from_current_land_use!$B$7,Value_look_up_tables!$A$101:$C$123,3,FALSE)&amp;"|"&amp;VLOOKUP($B$6,Value_look_up_tables!$A$131:$B$136,2,FALSE),Value_look_up_tables!$F$16:$H$97,3,FALSE),IFERROR($B14*VLOOKUP($A14&amp;"|"&amp;"TRUE"&amp;"|"&amp;VLOOKUP(Nutrients_from_current_land_use!$B$7,Value_look_up_tables!$A$101:$C$123,3,FALSE)&amp;"|"&amp;VLOOKUP($B$6,Value_look_up_tables!$A$131:$B$136,2,FALSE),Value_look_up_tables!$F$16:$H$97,3,FALSE),$B14*VLOOKUP($A14&amp;"|"&amp;VLOOKUP(Nutrients_from_current_land_use!$B$8,Value_look_up_tables!$A$140:$B$141,2,FALSE)&amp;"|"&amp;VLOOKUP(Nutrients_from_current_land_use!$B$7,Value_look_up_tables!$A$101:$C$123,3,FALSE)&amp;"|"&amp;"DrainedArGr",Value_look_up_tables!$F$16:$H$97,3,FALSE))),IFERROR($B14*VLOOKUP($A14&amp;"|"&amp;VLOOKUP(Nutrients_from_current_land_use!$B$7,Value_look_up_tables!$A$101:$C$123,3,FALSE),Value_look_up_tables!$I$16:$K$89,3,FALSE),$B14*VLOOKUP($A14,Value_look_up_tables!$B$16:$M$89,12,FALSE)))))</f>
        <v>0</v>
      </c>
      <c r="E14" s="37" t="str">
        <f>IF(OR(ISBLANK($A14),ISBLANK($B14),ISBLANK($B$6),ISBLANK($B$5),ISBLANK($B$7),$A14="Residential urban land",$A14="Commercial/industrial urban land",$A14="Open urban land",$A14="Greenspace",$A14="Community food growing",$A14="Woodland",$A14="Shrub",$A14="Water"),"Not applicable",IF(ISNUMBER(IFERROR($B14*VLOOKUP((IF(OR($A14="Residential urban land",$A14="Commercial/industrial urban land",$A14="Open urban land",$A14="Greenspace",$A14="Community food growing",$A14="Woodland",$A14="Shrub",$A14="Water"),"|||"&amp;$A14,(VLOOKUP(Nutrients_from_current_land_use!$B$5,Value_look_up_tables!$A$127:$B$127,2,FALSE)&amp;"|"&amp;$A14&amp;"|"&amp;VLOOKUP(Nutrients_from_current_land_use!$B$8,Value_look_up_tables!$A$140:$B$141,2,FALSE)&amp;"|"&amp;VLOOKUP(Nutrients_from_current_land_use!$B$7, Value_look_up_tables!$A$101:$C$123,3,FALSE)&amp;"|"&amp;VLOOKUP($B$6,Value_look_up_tables!$A$131:$B$136,2,FALSE)))), Value_look_up_tables!$F$16:$H$89,3,FALSE),IFERROR($B14*VLOOKUP($A14&amp;"|"&amp;VLOOKUP(Nutrients_from_current_land_use!$B$8,Value_look_up_tables!$A$140:$B$141,2,FALSE)&amp;"|"&amp;VLOOKUP(Nutrients_from_current_land_use!$B$7,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7" ht="37.5" customHeight="1" x14ac:dyDescent="0.3">
      <c r="A15" s="18"/>
      <c r="B15" s="35"/>
      <c r="C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$97,2,FALSE),
IFERROR(IFERROR($B15*VLOOKUP($A15&amp;"|"&amp;VLOOKUP(Nutrients_from_current_land_use!$B$8,Value_look_up_tables!$A$140:$B$141,2,FALSE)&amp;"|"&amp;VLOOKUP(Nutrients_from_current_land_use!$B$7,Value_look_up_tables!$A$101:$C$123,3,FALSE)&amp;"|"&amp;VLOOKUP($B$6,Value_look_up_tables!$A$131:$B$136,2,FALSE),Value_look_up_tables!$F$16:$H$97,2,FALSE),IFERROR($B15*VLOOKUP($A15&amp;"|"&amp;"TRUE"&amp;"|"&amp;VLOOKUP(Nutrients_from_current_land_use!$B$7,Value_look_up_tables!$A$101:$C$123,3,FALSE)&amp;"|"&amp;VLOOKUP($B$6,Value_look_up_tables!$A$131:$B$136,2,FALSE),Value_look_up_tables!$F$16:$H$97,2,FALSE),$B15*VLOOKUP($A15&amp;"|"&amp;VLOOKUP(Nutrients_from_current_land_use!$B$8,Value_look_up_tables!$A$140:$B$141,2,FALSE)&amp;"|"&amp;VLOOKUP(Nutrients_from_current_land_use!$B$7,Value_look_up_tables!$A$101:$C$123,3,FALSE)&amp;"|"&amp;"DrainedArGr",Value_look_up_tables!$F$16:$H$97,2,FALSE))),IFERROR($B15*VLOOKUP($A15&amp;"|"&amp;VLOOKUP(Nutrients_from_current_land_use!$B$7,Value_look_up_tables!$A$101:$C$123,3,FALSE),Value_look_up_tables!$I$16:$K$89,2,FALSE),$B15*VLOOKUP($A15,Value_look_up_tables!$B$16:$M$89,11,FALSE)))))</f>
        <v>0</v>
      </c>
      <c r="D15" s="36">
        <f>IF(OR(ISBLANK($A15),ISBLANK($B15),ISBLANK($B$6),ISBLANK($B$7)),0,IFERROR($B15*VLOOKUP((IF(OR($A15="Residential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B$6,Value_look_up_tables!$A$131:$B$136,2,FALSE)))),Value_look_up_tables!$F$16:$H$97,3,FALSE),
IFERROR(IFERROR($B15*VLOOKUP($A15&amp;"|"&amp;VLOOKUP(Nutrients_from_current_land_use!$B$8,Value_look_up_tables!$A$140:$B$141,2,FALSE)&amp;"|"&amp;VLOOKUP(Nutrients_from_current_land_use!$B$7,Value_look_up_tables!$A$101:$C$123,3,FALSE)&amp;"|"&amp;VLOOKUP($B$6,Value_look_up_tables!$A$131:$B$136,2,FALSE),Value_look_up_tables!$F$16:$H$97,3,FALSE),IFERROR($B15*VLOOKUP($A15&amp;"|"&amp;"TRUE"&amp;"|"&amp;VLOOKUP(Nutrients_from_current_land_use!$B$7,Value_look_up_tables!$A$101:$C$123,3,FALSE)&amp;"|"&amp;VLOOKUP($B$6,Value_look_up_tables!$A$131:$B$136,2,FALSE),Value_look_up_tables!$F$16:$H$97,3,FALSE),$B15*VLOOKUP($A15&amp;"|"&amp;VLOOKUP(Nutrients_from_current_land_use!$B$8,Value_look_up_tables!$A$140:$B$141,2,FALSE)&amp;"|"&amp;VLOOKUP(Nutrients_from_current_land_use!$B$7,Value_look_up_tables!$A$101:$C$123,3,FALSE)&amp;"|"&amp;"DrainedArGr",Value_look_up_tables!$F$16:$H$97,3,FALSE))),IFERROR($B15*VLOOKUP($A15&amp;"|"&amp;VLOOKUP(Nutrients_from_current_land_use!$B$7,Value_look_up_tables!$A$101:$C$123,3,FALSE),Value_look_up_tables!$I$16:$K$89,3,FALSE),$B15*VLOOKUP($A15,Value_look_up_tables!$B$16:$M$89,12,FALSE)))))</f>
        <v>0</v>
      </c>
      <c r="E15" s="37" t="str">
        <f>IF(OR(ISBLANK($A15),ISBLANK($B15),ISBLANK($B$6),ISBLANK($B$5),ISBLANK($B$7),$A15="Residential urban land",$A15="Commercial/industrial urban land",$A15="Open urban land",$A15="Greenspace",$A15="Community food growing",$A15="Woodland",$A15="Shrub",$A15="Water"),"Not applicable",IF(ISNUMBER(IFERROR($B15*VLOOKUP((IF(OR($A15="Residential urban land",$A15="Commercial/industrial urban land",$A15="Open urban land",$A15="Greenspace",$A15="Community food growing",$A15="Woodland",$A15="Shrub",$A15="Water"),"|||"&amp;$A15,(VLOOKUP(Nutrients_from_current_land_use!$B$5,Value_look_up_tables!$A$127:$B$127,2,FALSE)&amp;"|"&amp;$A15&amp;"|"&amp;VLOOKUP(Nutrients_from_current_land_use!$B$8,Value_look_up_tables!$A$140:$B$141,2,FALSE)&amp;"|"&amp;VLOOKUP(Nutrients_from_current_land_use!$B$7, Value_look_up_tables!$A$101:$C$123,3,FALSE)&amp;"|"&amp;VLOOKUP($B$6,Value_look_up_tables!$A$131:$B$136,2,FALSE)))), Value_look_up_tables!$F$16:$H$89,3,FALSE),IFERROR($B15*VLOOKUP($A15&amp;"|"&amp;VLOOKUP(Nutrients_from_current_land_use!$B$8,Value_look_up_tables!$A$140:$B$141,2,FALSE)&amp;"|"&amp;VLOOKUP(Nutrients_from_current_land_use!$B$7,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7" ht="37.5" customHeight="1" x14ac:dyDescent="0.3">
      <c r="A16" s="18"/>
      <c r="B16" s="35"/>
      <c r="C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$97,2,FALSE),
IFERROR(IFERROR($B16*VLOOKUP($A16&amp;"|"&amp;VLOOKUP(Nutrients_from_current_land_use!$B$8,Value_look_up_tables!$A$140:$B$141,2,FALSE)&amp;"|"&amp;VLOOKUP(Nutrients_from_current_land_use!$B$7,Value_look_up_tables!$A$101:$C$123,3,FALSE)&amp;"|"&amp;VLOOKUP($B$6,Value_look_up_tables!$A$131:$B$136,2,FALSE),Value_look_up_tables!$F$16:$H$97,2,FALSE),IFERROR($B16*VLOOKUP($A16&amp;"|"&amp;"TRUE"&amp;"|"&amp;VLOOKUP(Nutrients_from_current_land_use!$B$7,Value_look_up_tables!$A$101:$C$123,3,FALSE)&amp;"|"&amp;VLOOKUP($B$6,Value_look_up_tables!$A$131:$B$136,2,FALSE),Value_look_up_tables!$F$16:$H$97,2,FALSE),$B16*VLOOKUP($A16&amp;"|"&amp;VLOOKUP(Nutrients_from_current_land_use!$B$8,Value_look_up_tables!$A$140:$B$141,2,FALSE)&amp;"|"&amp;VLOOKUP(Nutrients_from_current_land_use!$B$7,Value_look_up_tables!$A$101:$C$123,3,FALSE)&amp;"|"&amp;"DrainedArGr",Value_look_up_tables!$F$16:$H$97,2,FALSE))),IFERROR($B16*VLOOKUP($A16&amp;"|"&amp;VLOOKUP(Nutrients_from_current_land_use!$B$7,Value_look_up_tables!$A$101:$C$123,3,FALSE),Value_look_up_tables!$I$16:$K$89,2,FALSE),$B16*VLOOKUP($A16,Value_look_up_tables!$B$16:$M$89,11,FALSE)))))</f>
        <v>0</v>
      </c>
      <c r="D16" s="36">
        <f>IF(OR(ISBLANK($A16),ISBLANK($B16),ISBLANK($B$6),ISBLANK($B$7)),0,IFERROR($B16*VLOOKUP((IF(OR($A16="Residential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B$6,Value_look_up_tables!$A$131:$B$136,2,FALSE)))),Value_look_up_tables!$F$16:$H$97,3,FALSE),
IFERROR(IFERROR($B16*VLOOKUP($A16&amp;"|"&amp;VLOOKUP(Nutrients_from_current_land_use!$B$8,Value_look_up_tables!$A$140:$B$141,2,FALSE)&amp;"|"&amp;VLOOKUP(Nutrients_from_current_land_use!$B$7,Value_look_up_tables!$A$101:$C$123,3,FALSE)&amp;"|"&amp;VLOOKUP($B$6,Value_look_up_tables!$A$131:$B$136,2,FALSE),Value_look_up_tables!$F$16:$H$97,3,FALSE),IFERROR($B16*VLOOKUP($A16&amp;"|"&amp;"TRUE"&amp;"|"&amp;VLOOKUP(Nutrients_from_current_land_use!$B$7,Value_look_up_tables!$A$101:$C$123,3,FALSE)&amp;"|"&amp;VLOOKUP($B$6,Value_look_up_tables!$A$131:$B$136,2,FALSE),Value_look_up_tables!$F$16:$H$97,3,FALSE),$B16*VLOOKUP($A16&amp;"|"&amp;VLOOKUP(Nutrients_from_current_land_use!$B$8,Value_look_up_tables!$A$140:$B$141,2,FALSE)&amp;"|"&amp;VLOOKUP(Nutrients_from_current_land_use!$B$7,Value_look_up_tables!$A$101:$C$123,3,FALSE)&amp;"|"&amp;"DrainedArGr",Value_look_up_tables!$F$16:$H$97,3,FALSE))),IFERROR($B16*VLOOKUP($A16&amp;"|"&amp;VLOOKUP(Nutrients_from_current_land_use!$B$7,Value_look_up_tables!$A$101:$C$123,3,FALSE),Value_look_up_tables!$I$16:$K$89,3,FALSE),$B16*VLOOKUP($A16,Value_look_up_tables!$B$16:$M$89,12,FALSE)))))</f>
        <v>0</v>
      </c>
      <c r="E16" s="37" t="str">
        <f>IF(OR(ISBLANK($A16),ISBLANK($B16),ISBLANK($B$6),ISBLANK($B$5),ISBLANK($B$7),$A16="Residential urban land",$A16="Commercial/industrial urban land",$A16="Open urban land",$A16="Greenspace",$A16="Community food growing",$A16="Woodland",$A16="Shrub",$A16="Water"),"Not applicable",IF(ISNUMBER(IFERROR($B16*VLOOKUP((IF(OR($A16="Residential urban land",$A16="Commercial/industrial urban land",$A16="Open urban land",$A16="Greenspace",$A16="Community food growing",$A16="Woodland",$A16="Shrub",$A16="Water"),"|||"&amp;$A16,(VLOOKUP(Nutrients_from_current_land_use!$B$5,Value_look_up_tables!$A$127:$B$127,2,FALSE)&amp;"|"&amp;$A16&amp;"|"&amp;VLOOKUP(Nutrients_from_current_land_use!$B$8,Value_look_up_tables!$A$140:$B$141,2,FALSE)&amp;"|"&amp;VLOOKUP(Nutrients_from_current_land_use!$B$7, Value_look_up_tables!$A$101:$C$123,3,FALSE)&amp;"|"&amp;VLOOKUP($B$6,Value_look_up_tables!$A$131:$B$136,2,FALSE)))), Value_look_up_tables!$F$16:$H$89,3,FALSE),IFERROR($B16*VLOOKUP($A16&amp;"|"&amp;VLOOKUP(Nutrients_from_current_land_use!$B$8,Value_look_up_tables!$A$140:$B$141,2,FALSE)&amp;"|"&amp;VLOOKUP(Nutrients_from_current_land_use!$B$7,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7" ht="37.5" customHeight="1" x14ac:dyDescent="0.3">
      <c r="A17" s="18"/>
      <c r="B17" s="35"/>
      <c r="C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$97,2,FALSE),
IFERROR(IFERROR($B17*VLOOKUP($A17&amp;"|"&amp;VLOOKUP(Nutrients_from_current_land_use!$B$8,Value_look_up_tables!$A$140:$B$141,2,FALSE)&amp;"|"&amp;VLOOKUP(Nutrients_from_current_land_use!$B$7,Value_look_up_tables!$A$101:$C$123,3,FALSE)&amp;"|"&amp;VLOOKUP($B$6,Value_look_up_tables!$A$131:$B$136,2,FALSE),Value_look_up_tables!$F$16:$H$97,2,FALSE),IFERROR($B17*VLOOKUP($A17&amp;"|"&amp;"TRUE"&amp;"|"&amp;VLOOKUP(Nutrients_from_current_land_use!$B$7,Value_look_up_tables!$A$101:$C$123,3,FALSE)&amp;"|"&amp;VLOOKUP($B$6,Value_look_up_tables!$A$131:$B$136,2,FALSE),Value_look_up_tables!$F$16:$H$97,2,FALSE),$B17*VLOOKUP($A17&amp;"|"&amp;VLOOKUP(Nutrients_from_current_land_use!$B$8,Value_look_up_tables!$A$140:$B$141,2,FALSE)&amp;"|"&amp;VLOOKUP(Nutrients_from_current_land_use!$B$7,Value_look_up_tables!$A$101:$C$123,3,FALSE)&amp;"|"&amp;"DrainedArGr",Value_look_up_tables!$F$16:$H$97,2,FALSE))),IFERROR($B17*VLOOKUP($A17&amp;"|"&amp;VLOOKUP(Nutrients_from_current_land_use!$B$7,Value_look_up_tables!$A$101:$C$123,3,FALSE),Value_look_up_tables!$I$16:$K$89,2,FALSE),$B17*VLOOKUP($A17,Value_look_up_tables!$B$16:$M$89,11,FALSE)))))</f>
        <v>0</v>
      </c>
      <c r="D17" s="36">
        <f>IF(OR(ISBLANK($A17),ISBLANK($B17),ISBLANK($B$6),ISBLANK($B$7)),0,IFERROR($B17*VLOOKUP((IF(OR($A17="Residential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B$6,Value_look_up_tables!$A$131:$B$136,2,FALSE)))),Value_look_up_tables!$F$16:$H$97,3,FALSE),
IFERROR(IFERROR($B17*VLOOKUP($A17&amp;"|"&amp;VLOOKUP(Nutrients_from_current_land_use!$B$8,Value_look_up_tables!$A$140:$B$141,2,FALSE)&amp;"|"&amp;VLOOKUP(Nutrients_from_current_land_use!$B$7,Value_look_up_tables!$A$101:$C$123,3,FALSE)&amp;"|"&amp;VLOOKUP($B$6,Value_look_up_tables!$A$131:$B$136,2,FALSE),Value_look_up_tables!$F$16:$H$97,3,FALSE),IFERROR($B17*VLOOKUP($A17&amp;"|"&amp;"TRUE"&amp;"|"&amp;VLOOKUP(Nutrients_from_current_land_use!$B$7,Value_look_up_tables!$A$101:$C$123,3,FALSE)&amp;"|"&amp;VLOOKUP($B$6,Value_look_up_tables!$A$131:$B$136,2,FALSE),Value_look_up_tables!$F$16:$H$97,3,FALSE),$B17*VLOOKUP($A17&amp;"|"&amp;VLOOKUP(Nutrients_from_current_land_use!$B$8,Value_look_up_tables!$A$140:$B$141,2,FALSE)&amp;"|"&amp;VLOOKUP(Nutrients_from_current_land_use!$B$7,Value_look_up_tables!$A$101:$C$123,3,FALSE)&amp;"|"&amp;"DrainedArGr",Value_look_up_tables!$F$16:$H$97,3,FALSE))),IFERROR($B17*VLOOKUP($A17&amp;"|"&amp;VLOOKUP(Nutrients_from_current_land_use!$B$7,Value_look_up_tables!$A$101:$C$123,3,FALSE),Value_look_up_tables!$I$16:$K$89,3,FALSE),$B17*VLOOKUP($A17,Value_look_up_tables!$B$16:$M$89,12,FALSE)))))</f>
        <v>0</v>
      </c>
      <c r="E17" s="37" t="str">
        <f>IF(OR(ISBLANK($A17),ISBLANK($B17),ISBLANK($B$6),ISBLANK($B$5),ISBLANK($B$7),$A17="Residential urban land",$A17="Commercial/industrial urban land",$A17="Open urban land",$A17="Greenspace",$A17="Community food growing",$A17="Woodland",$A17="Shrub",$A17="Water"),"Not applicable",IF(ISNUMBER(IFERROR($B17*VLOOKUP((IF(OR($A17="Residential urban land",$A17="Commercial/industrial urban land",$A17="Open urban land",$A17="Greenspace",$A17="Community food growing",$A17="Woodland",$A17="Shrub",$A17="Water"),"|||"&amp;$A17,(VLOOKUP(Nutrients_from_current_land_use!$B$5,Value_look_up_tables!$A$127:$B$127,2,FALSE)&amp;"|"&amp;$A17&amp;"|"&amp;VLOOKUP(Nutrients_from_current_land_use!$B$8,Value_look_up_tables!$A$140:$B$141,2,FALSE)&amp;"|"&amp;VLOOKUP(Nutrients_from_current_land_use!$B$7, Value_look_up_tables!$A$101:$C$123,3,FALSE)&amp;"|"&amp;VLOOKUP($B$6,Value_look_up_tables!$A$131:$B$136,2,FALSE)))), Value_look_up_tables!$F$16:$H$89,3,FALSE),IFERROR($B17*VLOOKUP($A17&amp;"|"&amp;VLOOKUP(Nutrients_from_current_land_use!$B$8,Value_look_up_tables!$A$140:$B$141,2,FALSE)&amp;"|"&amp;VLOOKUP(Nutrients_from_current_land_use!$B$7,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7" ht="37.5" customHeight="1" x14ac:dyDescent="0.3">
      <c r="A18" s="18"/>
      <c r="B18" s="35"/>
      <c r="C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$97,2,FALSE),
IFERROR(IFERROR($B18*VLOOKUP($A18&amp;"|"&amp;VLOOKUP(Nutrients_from_current_land_use!$B$8,Value_look_up_tables!$A$140:$B$141,2,FALSE)&amp;"|"&amp;VLOOKUP(Nutrients_from_current_land_use!$B$7,Value_look_up_tables!$A$101:$C$123,3,FALSE)&amp;"|"&amp;VLOOKUP($B$6,Value_look_up_tables!$A$131:$B$136,2,FALSE),Value_look_up_tables!$F$16:$H$97,2,FALSE),IFERROR($B18*VLOOKUP($A18&amp;"|"&amp;"TRUE"&amp;"|"&amp;VLOOKUP(Nutrients_from_current_land_use!$B$7,Value_look_up_tables!$A$101:$C$123,3,FALSE)&amp;"|"&amp;VLOOKUP($B$6,Value_look_up_tables!$A$131:$B$136,2,FALSE),Value_look_up_tables!$F$16:$H$97,2,FALSE),$B18*VLOOKUP($A18&amp;"|"&amp;VLOOKUP(Nutrients_from_current_land_use!$B$8,Value_look_up_tables!$A$140:$B$141,2,FALSE)&amp;"|"&amp;VLOOKUP(Nutrients_from_current_land_use!$B$7,Value_look_up_tables!$A$101:$C$123,3,FALSE)&amp;"|"&amp;"DrainedArGr",Value_look_up_tables!$F$16:$H$97,2,FALSE))),IFERROR($B18*VLOOKUP($A18&amp;"|"&amp;VLOOKUP(Nutrients_from_current_land_use!$B$7,Value_look_up_tables!$A$101:$C$123,3,FALSE),Value_look_up_tables!$I$16:$K$89,2,FALSE),$B18*VLOOKUP($A18,Value_look_up_tables!$B$16:$M$89,11,FALSE)))))</f>
        <v>0</v>
      </c>
      <c r="D18" s="36">
        <f>IF(OR(ISBLANK($A18),ISBLANK($B18),ISBLANK($B$6),ISBLANK($B$7)),0,IFERROR($B18*VLOOKUP((IF(OR($A18="Residential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B$6,Value_look_up_tables!$A$131:$B$136,2,FALSE)))),Value_look_up_tables!$F$16:$H$97,3,FALSE),
IFERROR(IFERROR($B18*VLOOKUP($A18&amp;"|"&amp;VLOOKUP(Nutrients_from_current_land_use!$B$8,Value_look_up_tables!$A$140:$B$141,2,FALSE)&amp;"|"&amp;VLOOKUP(Nutrients_from_current_land_use!$B$7,Value_look_up_tables!$A$101:$C$123,3,FALSE)&amp;"|"&amp;VLOOKUP($B$6,Value_look_up_tables!$A$131:$B$136,2,FALSE),Value_look_up_tables!$F$16:$H$97,3,FALSE),IFERROR($B18*VLOOKUP($A18&amp;"|"&amp;"TRUE"&amp;"|"&amp;VLOOKUP(Nutrients_from_current_land_use!$B$7,Value_look_up_tables!$A$101:$C$123,3,FALSE)&amp;"|"&amp;VLOOKUP($B$6,Value_look_up_tables!$A$131:$B$136,2,FALSE),Value_look_up_tables!$F$16:$H$97,3,FALSE),$B18*VLOOKUP($A18&amp;"|"&amp;VLOOKUP(Nutrients_from_current_land_use!$B$8,Value_look_up_tables!$A$140:$B$141,2,FALSE)&amp;"|"&amp;VLOOKUP(Nutrients_from_current_land_use!$B$7,Value_look_up_tables!$A$101:$C$123,3,FALSE)&amp;"|"&amp;"DrainedArGr",Value_look_up_tables!$F$16:$H$97,3,FALSE))),IFERROR($B18*VLOOKUP($A18&amp;"|"&amp;VLOOKUP(Nutrients_from_current_land_use!$B$7,Value_look_up_tables!$A$101:$C$123,3,FALSE),Value_look_up_tables!$I$16:$K$89,3,FALSE),$B18*VLOOKUP($A18,Value_look_up_tables!$B$16:$M$89,12,FALSE)))))</f>
        <v>0</v>
      </c>
      <c r="E18" s="37" t="str">
        <f>IF(OR(ISBLANK($A18),ISBLANK($B18),ISBLANK($B$6),ISBLANK($B$5),ISBLANK($B$7),$A18="Residential urban land",$A18="Commercial/industrial urban land",$A18="Open urban land",$A18="Greenspace",$A18="Community food growing",$A18="Woodland",$A18="Shrub",$A18="Water"),"Not applicable",IF(ISNUMBER(IFERROR($B18*VLOOKUP((IF(OR($A18="Residential urban land",$A18="Commercial/industrial urban land",$A18="Open urban land",$A18="Greenspace",$A18="Community food growing",$A18="Woodland",$A18="Shrub",$A18="Water"),"|||"&amp;$A18,(VLOOKUP(Nutrients_from_current_land_use!$B$5,Value_look_up_tables!$A$127:$B$127,2,FALSE)&amp;"|"&amp;$A18&amp;"|"&amp;VLOOKUP(Nutrients_from_current_land_use!$B$8,Value_look_up_tables!$A$140:$B$141,2,FALSE)&amp;"|"&amp;VLOOKUP(Nutrients_from_current_land_use!$B$7, Value_look_up_tables!$A$101:$C$123,3,FALSE)&amp;"|"&amp;VLOOKUP($B$6,Value_look_up_tables!$A$131:$B$136,2,FALSE)))), Value_look_up_tables!$F$16:$H$89,3,FALSE),IFERROR($B18*VLOOKUP($A18&amp;"|"&amp;VLOOKUP(Nutrients_from_current_land_use!$B$8,Value_look_up_tables!$A$140:$B$141,2,FALSE)&amp;"|"&amp;VLOOKUP(Nutrients_from_current_land_use!$B$7,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7" ht="37.5" customHeight="1" x14ac:dyDescent="0.3">
      <c r="A19" s="18"/>
      <c r="B19" s="35"/>
      <c r="C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$97,2,FALSE),
IFERROR(IFERROR($B19*VLOOKUP($A19&amp;"|"&amp;VLOOKUP(Nutrients_from_current_land_use!$B$8,Value_look_up_tables!$A$140:$B$141,2,FALSE)&amp;"|"&amp;VLOOKUP(Nutrients_from_current_land_use!$B$7,Value_look_up_tables!$A$101:$C$123,3,FALSE)&amp;"|"&amp;VLOOKUP($B$6,Value_look_up_tables!$A$131:$B$136,2,FALSE),Value_look_up_tables!$F$16:$H$97,2,FALSE),IFERROR($B19*VLOOKUP($A19&amp;"|"&amp;"TRUE"&amp;"|"&amp;VLOOKUP(Nutrients_from_current_land_use!$B$7,Value_look_up_tables!$A$101:$C$123,3,FALSE)&amp;"|"&amp;VLOOKUP($B$6,Value_look_up_tables!$A$131:$B$136,2,FALSE),Value_look_up_tables!$F$16:$H$97,2,FALSE),$B19*VLOOKUP($A19&amp;"|"&amp;VLOOKUP(Nutrients_from_current_land_use!$B$8,Value_look_up_tables!$A$140:$B$141,2,FALSE)&amp;"|"&amp;VLOOKUP(Nutrients_from_current_land_use!$B$7,Value_look_up_tables!$A$101:$C$123,3,FALSE)&amp;"|"&amp;"DrainedArGr",Value_look_up_tables!$F$16:$H$97,2,FALSE))),IFERROR($B19*VLOOKUP($A19&amp;"|"&amp;VLOOKUP(Nutrients_from_current_land_use!$B$7,Value_look_up_tables!$A$101:$C$123,3,FALSE),Value_look_up_tables!$I$16:$K$89,2,FALSE),$B19*VLOOKUP($A19,Value_look_up_tables!$B$16:$M$89,11,FALSE)))))</f>
        <v>0</v>
      </c>
      <c r="D19" s="36">
        <f>IF(OR(ISBLANK($A19),ISBLANK($B19),ISBLANK($B$6),ISBLANK($B$7)),0,IFERROR($B19*VLOOKUP((IF(OR($A19="Residential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B$6,Value_look_up_tables!$A$131:$B$136,2,FALSE)))),Value_look_up_tables!$F$16:$H$97,3,FALSE),
IFERROR(IFERROR($B19*VLOOKUP($A19&amp;"|"&amp;VLOOKUP(Nutrients_from_current_land_use!$B$8,Value_look_up_tables!$A$140:$B$141,2,FALSE)&amp;"|"&amp;VLOOKUP(Nutrients_from_current_land_use!$B$7,Value_look_up_tables!$A$101:$C$123,3,FALSE)&amp;"|"&amp;VLOOKUP($B$6,Value_look_up_tables!$A$131:$B$136,2,FALSE),Value_look_up_tables!$F$16:$H$97,3,FALSE),IFERROR($B19*VLOOKUP($A19&amp;"|"&amp;"TRUE"&amp;"|"&amp;VLOOKUP(Nutrients_from_current_land_use!$B$7,Value_look_up_tables!$A$101:$C$123,3,FALSE)&amp;"|"&amp;VLOOKUP($B$6,Value_look_up_tables!$A$131:$B$136,2,FALSE),Value_look_up_tables!$F$16:$H$97,3,FALSE),$B19*VLOOKUP($A19&amp;"|"&amp;VLOOKUP(Nutrients_from_current_land_use!$B$8,Value_look_up_tables!$A$140:$B$141,2,FALSE)&amp;"|"&amp;VLOOKUP(Nutrients_from_current_land_use!$B$7,Value_look_up_tables!$A$101:$C$123,3,FALSE)&amp;"|"&amp;"DrainedArGr",Value_look_up_tables!$F$16:$H$97,3,FALSE))),IFERROR($B19*VLOOKUP($A19&amp;"|"&amp;VLOOKUP(Nutrients_from_current_land_use!$B$7,Value_look_up_tables!$A$101:$C$123,3,FALSE),Value_look_up_tables!$I$16:$K$89,3,FALSE),$B19*VLOOKUP($A19,Value_look_up_tables!$B$16:$M$89,12,FALSE)))))</f>
        <v>0</v>
      </c>
      <c r="E19" s="37" t="str">
        <f>IF(OR(ISBLANK($A19),ISBLANK($B19),ISBLANK($B$6),ISBLANK($B$5),ISBLANK($B$7),$A19="Residential urban land",$A19="Commercial/industrial urban land",$A19="Open urban land",$A19="Greenspace",$A19="Community food growing",$A19="Woodland",$A19="Shrub",$A19="Water"),"Not applicable",IF(ISNUMBER(IFERROR($B19*VLOOKUP((IF(OR($A19="Residential urban land",$A19="Commercial/industrial urban land",$A19="Open urban land",$A19="Greenspace",$A19="Community food growing",$A19="Woodland",$A19="Shrub",$A19="Water"),"|||"&amp;$A19,(VLOOKUP(Nutrients_from_current_land_use!$B$5,Value_look_up_tables!$A$127:$B$127,2,FALSE)&amp;"|"&amp;$A19&amp;"|"&amp;VLOOKUP(Nutrients_from_current_land_use!$B$8,Value_look_up_tables!$A$140:$B$141,2,FALSE)&amp;"|"&amp;VLOOKUP(Nutrients_from_current_land_use!$B$7, Value_look_up_tables!$A$101:$C$123,3,FALSE)&amp;"|"&amp;VLOOKUP($B$6,Value_look_up_tables!$A$131:$B$136,2,FALSE)))), Value_look_up_tables!$F$16:$H$89,3,FALSE),IFERROR($B19*VLOOKUP($A19&amp;"|"&amp;VLOOKUP(Nutrients_from_current_land_use!$B$8,Value_look_up_tables!$A$140:$B$141,2,FALSE)&amp;"|"&amp;VLOOKUP(Nutrients_from_current_land_use!$B$7,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7" ht="37.5" customHeight="1" x14ac:dyDescent="0.3">
      <c r="A20" s="18"/>
      <c r="B20" s="35"/>
      <c r="C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$97,2,FALSE),
IFERROR(IFERROR($B20*VLOOKUP($A20&amp;"|"&amp;VLOOKUP(Nutrients_from_current_land_use!$B$8,Value_look_up_tables!$A$140:$B$141,2,FALSE)&amp;"|"&amp;VLOOKUP(Nutrients_from_current_land_use!$B$7,Value_look_up_tables!$A$101:$C$123,3,FALSE)&amp;"|"&amp;VLOOKUP($B$6,Value_look_up_tables!$A$131:$B$136,2,FALSE),Value_look_up_tables!$F$16:$H$97,2,FALSE),IFERROR($B20*VLOOKUP($A20&amp;"|"&amp;"TRUE"&amp;"|"&amp;VLOOKUP(Nutrients_from_current_land_use!$B$7,Value_look_up_tables!$A$101:$C$123,3,FALSE)&amp;"|"&amp;VLOOKUP($B$6,Value_look_up_tables!$A$131:$B$136,2,FALSE),Value_look_up_tables!$F$16:$H$97,2,FALSE),$B20*VLOOKUP($A20&amp;"|"&amp;VLOOKUP(Nutrients_from_current_land_use!$B$8,Value_look_up_tables!$A$140:$B$141,2,FALSE)&amp;"|"&amp;VLOOKUP(Nutrients_from_current_land_use!$B$7,Value_look_up_tables!$A$101:$C$123,3,FALSE)&amp;"|"&amp;"DrainedArGr",Value_look_up_tables!$F$16:$H$97,2,FALSE))),IFERROR($B20*VLOOKUP($A20&amp;"|"&amp;VLOOKUP(Nutrients_from_current_land_use!$B$7,Value_look_up_tables!$A$101:$C$123,3,FALSE),Value_look_up_tables!$I$16:$K$89,2,FALSE),$B20*VLOOKUP($A20,Value_look_up_tables!$B$16:$M$89,11,FALSE)))))</f>
        <v>0</v>
      </c>
      <c r="D20" s="36">
        <f>IF(OR(ISBLANK($A20),ISBLANK($B20),ISBLANK($B$6),ISBLANK($B$7)),0,IFERROR($B20*VLOOKUP((IF(OR($A20="Residential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B$6,Value_look_up_tables!$A$131:$B$136,2,FALSE)))),Value_look_up_tables!$F$16:$H$97,3,FALSE),
IFERROR(IFERROR($B20*VLOOKUP($A20&amp;"|"&amp;VLOOKUP(Nutrients_from_current_land_use!$B$8,Value_look_up_tables!$A$140:$B$141,2,FALSE)&amp;"|"&amp;VLOOKUP(Nutrients_from_current_land_use!$B$7,Value_look_up_tables!$A$101:$C$123,3,FALSE)&amp;"|"&amp;VLOOKUP($B$6,Value_look_up_tables!$A$131:$B$136,2,FALSE),Value_look_up_tables!$F$16:$H$97,3,FALSE),IFERROR($B20*VLOOKUP($A20&amp;"|"&amp;"TRUE"&amp;"|"&amp;VLOOKUP(Nutrients_from_current_land_use!$B$7,Value_look_up_tables!$A$101:$C$123,3,FALSE)&amp;"|"&amp;VLOOKUP($B$6,Value_look_up_tables!$A$131:$B$136,2,FALSE),Value_look_up_tables!$F$16:$H$97,3,FALSE),$B20*VLOOKUP($A20&amp;"|"&amp;VLOOKUP(Nutrients_from_current_land_use!$B$8,Value_look_up_tables!$A$140:$B$141,2,FALSE)&amp;"|"&amp;VLOOKUP(Nutrients_from_current_land_use!$B$7,Value_look_up_tables!$A$101:$C$123,3,FALSE)&amp;"|"&amp;"DrainedArGr",Value_look_up_tables!$F$16:$H$97,3,FALSE))),IFERROR($B20*VLOOKUP($A20&amp;"|"&amp;VLOOKUP(Nutrients_from_current_land_use!$B$7,Value_look_up_tables!$A$101:$C$123,3,FALSE),Value_look_up_tables!$I$16:$K$89,3,FALSE),$B20*VLOOKUP($A20,Value_look_up_tables!$B$16:$M$89,12,FALSE)))))</f>
        <v>0</v>
      </c>
      <c r="E20" s="37" t="str">
        <f>IF(OR(ISBLANK($A20),ISBLANK($B20),ISBLANK($B$6),ISBLANK($B$5),ISBLANK($B$7),$A20="Residential urban land",$A20="Commercial/industrial urban land",$A20="Open urban land",$A20="Greenspace",$A20="Community food growing",$A20="Woodland",$A20="Shrub",$A20="Water"),"Not applicable",IF(ISNUMBER(IFERROR($B20*VLOOKUP((IF(OR($A20="Residential urban land",$A20="Commercial/industrial urban land",$A20="Open urban land",$A20="Greenspace",$A20="Community food growing",$A20="Woodland",$A20="Shrub",$A20="Water"),"|||"&amp;$A20,(VLOOKUP(Nutrients_from_current_land_use!$B$5,Value_look_up_tables!$A$127:$B$127,2,FALSE)&amp;"|"&amp;$A20&amp;"|"&amp;VLOOKUP(Nutrients_from_current_land_use!$B$8,Value_look_up_tables!$A$140:$B$141,2,FALSE)&amp;"|"&amp;VLOOKUP(Nutrients_from_current_land_use!$B$7, Value_look_up_tables!$A$101:$C$123,3,FALSE)&amp;"|"&amp;VLOOKUP($B$6,Value_look_up_tables!$A$131:$B$136,2,FALSE)))), Value_look_up_tables!$F$16:$H$89,3,FALSE),IFERROR($B20*VLOOKUP($A20&amp;"|"&amp;VLOOKUP(Nutrients_from_current_land_use!$B$8,Value_look_up_tables!$A$140:$B$141,2,FALSE)&amp;"|"&amp;VLOOKUP(Nutrients_from_current_land_use!$B$7,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7" ht="37.5" customHeight="1" x14ac:dyDescent="0.3">
      <c r="A21" s="18"/>
      <c r="B21" s="35"/>
      <c r="C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$97,2,FALSE),
IFERROR(IFERROR($B21*VLOOKUP($A21&amp;"|"&amp;VLOOKUP(Nutrients_from_current_land_use!$B$8,Value_look_up_tables!$A$140:$B$141,2,FALSE)&amp;"|"&amp;VLOOKUP(Nutrients_from_current_land_use!$B$7,Value_look_up_tables!$A$101:$C$123,3,FALSE)&amp;"|"&amp;VLOOKUP($B$6,Value_look_up_tables!$A$131:$B$136,2,FALSE),Value_look_up_tables!$F$16:$H$97,2,FALSE),IFERROR($B21*VLOOKUP($A21&amp;"|"&amp;"TRUE"&amp;"|"&amp;VLOOKUP(Nutrients_from_current_land_use!$B$7,Value_look_up_tables!$A$101:$C$123,3,FALSE)&amp;"|"&amp;VLOOKUP($B$6,Value_look_up_tables!$A$131:$B$136,2,FALSE),Value_look_up_tables!$F$16:$H$97,2,FALSE),$B21*VLOOKUP($A21&amp;"|"&amp;VLOOKUP(Nutrients_from_current_land_use!$B$8,Value_look_up_tables!$A$140:$B$141,2,FALSE)&amp;"|"&amp;VLOOKUP(Nutrients_from_current_land_use!$B$7,Value_look_up_tables!$A$101:$C$123,3,FALSE)&amp;"|"&amp;"DrainedArGr",Value_look_up_tables!$F$16:$H$97,2,FALSE))),IFERROR($B21*VLOOKUP($A21&amp;"|"&amp;VLOOKUP(Nutrients_from_current_land_use!$B$7,Value_look_up_tables!$A$101:$C$123,3,FALSE),Value_look_up_tables!$I$16:$K$89,2,FALSE),$B21*VLOOKUP($A21,Value_look_up_tables!$B$16:$M$89,11,FALSE)))))</f>
        <v>0</v>
      </c>
      <c r="D21" s="36">
        <f>IF(OR(ISBLANK($A21),ISBLANK($B21),ISBLANK($B$6),ISBLANK($B$7)),0,IFERROR($B21*VLOOKUP((IF(OR($A21="Residential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B$6,Value_look_up_tables!$A$131:$B$136,2,FALSE)))),Value_look_up_tables!$F$16:$H$97,3,FALSE),
IFERROR(IFERROR($B21*VLOOKUP($A21&amp;"|"&amp;VLOOKUP(Nutrients_from_current_land_use!$B$8,Value_look_up_tables!$A$140:$B$141,2,FALSE)&amp;"|"&amp;VLOOKUP(Nutrients_from_current_land_use!$B$7,Value_look_up_tables!$A$101:$C$123,3,FALSE)&amp;"|"&amp;VLOOKUP($B$6,Value_look_up_tables!$A$131:$B$136,2,FALSE),Value_look_up_tables!$F$16:$H$97,3,FALSE),IFERROR($B21*VLOOKUP($A21&amp;"|"&amp;"TRUE"&amp;"|"&amp;VLOOKUP(Nutrients_from_current_land_use!$B$7,Value_look_up_tables!$A$101:$C$123,3,FALSE)&amp;"|"&amp;VLOOKUP($B$6,Value_look_up_tables!$A$131:$B$136,2,FALSE),Value_look_up_tables!$F$16:$H$97,3,FALSE),$B21*VLOOKUP($A21&amp;"|"&amp;VLOOKUP(Nutrients_from_current_land_use!$B$8,Value_look_up_tables!$A$140:$B$141,2,FALSE)&amp;"|"&amp;VLOOKUP(Nutrients_from_current_land_use!$B$7,Value_look_up_tables!$A$101:$C$123,3,FALSE)&amp;"|"&amp;"DrainedArGr",Value_look_up_tables!$F$16:$H$97,3,FALSE))),IFERROR($B21*VLOOKUP($A21&amp;"|"&amp;VLOOKUP(Nutrients_from_current_land_use!$B$7,Value_look_up_tables!$A$101:$C$123,3,FALSE),Value_look_up_tables!$I$16:$K$89,3,FALSE),$B21*VLOOKUP($A21,Value_look_up_tables!$B$16:$M$89,12,FALSE)))))</f>
        <v>0</v>
      </c>
      <c r="E21" s="37" t="str">
        <f>IF(OR(ISBLANK($A21),ISBLANK($B21),ISBLANK($B$6),ISBLANK($B$5),ISBLANK($B$7),$A21="Residential urban land",$A21="Commercial/industrial urban land",$A21="Open urban land",$A21="Greenspace",$A21="Community food growing",$A21="Woodland",$A21="Shrub",$A21="Water"),"Not applicable",IF(ISNUMBER(IFERROR($B21*VLOOKUP((IF(OR($A21="Residential urban land",$A21="Commercial/industrial urban land",$A21="Open urban land",$A21="Greenspace",$A21="Community food growing",$A21="Woodland",$A21="Shrub",$A21="Water"),"|||"&amp;$A21,(VLOOKUP(Nutrients_from_current_land_use!$B$5,Value_look_up_tables!$A$127:$B$127,2,FALSE)&amp;"|"&amp;$A21&amp;"|"&amp;VLOOKUP(Nutrients_from_current_land_use!$B$8,Value_look_up_tables!$A$140:$B$141,2,FALSE)&amp;"|"&amp;VLOOKUP(Nutrients_from_current_land_use!$B$7, Value_look_up_tables!$A$101:$C$123,3,FALSE)&amp;"|"&amp;VLOOKUP($B$6,Value_look_up_tables!$A$131:$B$136,2,FALSE)))), Value_look_up_tables!$F$16:$H$89,3,FALSE),IFERROR($B21*VLOOKUP($A21&amp;"|"&amp;VLOOKUP(Nutrients_from_current_land_use!$B$8,Value_look_up_tables!$A$140:$B$141,2,FALSE)&amp;"|"&amp;VLOOKUP(Nutrients_from_current_land_use!$B$7,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7" ht="37.5" customHeight="1" x14ac:dyDescent="0.3">
      <c r="A22" s="18"/>
      <c r="B22" s="35"/>
      <c r="C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$97,2,FALSE),
IFERROR(IFERROR($B22*VLOOKUP($A22&amp;"|"&amp;VLOOKUP(Nutrients_from_current_land_use!$B$8,Value_look_up_tables!$A$140:$B$141,2,FALSE)&amp;"|"&amp;VLOOKUP(Nutrients_from_current_land_use!$B$7,Value_look_up_tables!$A$101:$C$123,3,FALSE)&amp;"|"&amp;VLOOKUP($B$6,Value_look_up_tables!$A$131:$B$136,2,FALSE),Value_look_up_tables!$F$16:$H$97,2,FALSE),IFERROR($B22*VLOOKUP($A22&amp;"|"&amp;"TRUE"&amp;"|"&amp;VLOOKUP(Nutrients_from_current_land_use!$B$7,Value_look_up_tables!$A$101:$C$123,3,FALSE)&amp;"|"&amp;VLOOKUP($B$6,Value_look_up_tables!$A$131:$B$136,2,FALSE),Value_look_up_tables!$F$16:$H$97,2,FALSE),$B22*VLOOKUP($A22&amp;"|"&amp;VLOOKUP(Nutrients_from_current_land_use!$B$8,Value_look_up_tables!$A$140:$B$141,2,FALSE)&amp;"|"&amp;VLOOKUP(Nutrients_from_current_land_use!$B$7,Value_look_up_tables!$A$101:$C$123,3,FALSE)&amp;"|"&amp;"DrainedArGr",Value_look_up_tables!$F$16:$H$97,2,FALSE))),IFERROR($B22*VLOOKUP($A22&amp;"|"&amp;VLOOKUP(Nutrients_from_current_land_use!$B$7,Value_look_up_tables!$A$101:$C$123,3,FALSE),Value_look_up_tables!$I$16:$K$89,2,FALSE),$B22*VLOOKUP($A22,Value_look_up_tables!$B$16:$M$89,11,FALSE)))))</f>
        <v>0</v>
      </c>
      <c r="D22" s="36">
        <f>IF(OR(ISBLANK($A22),ISBLANK($B22),ISBLANK($B$6),ISBLANK($B$7)),0,IFERROR($B22*VLOOKUP((IF(OR($A22="Residential urban land",$A22="Commercial/industrial urban land",$A22="Open urban land",$A22="Greenspace",$A22="Community food growing",$A22="Woodland",$A22="Shrub", $A22="Water"), "|||"&amp;$A22, (VLOOKUP(Nutrients_from_current_land_use!$B$5,Value_look_up_tables!$A$127:$B$127,2,FALSE)&amp;"|"&amp;$A22&amp;"|"&amp;VLOOKUP(Nutrients_from_current_land_use!$B$8,Value_look_up_tables!$A$140:$B$141,2,FALSE)&amp;"|"&amp;VLOOKUP(Nutrients_from_current_land_use!$B$7,Value_look_up_tables!$A$101:$C$123,3,FALSE)&amp;"|"&amp;VLOOKUP($B$6,Value_look_up_tables!$A$131:$B$136,2,FALSE)))),Value_look_up_tables!$F$16:$H$97,3,FALSE),
IFERROR(IFERROR($B22*VLOOKUP($A22&amp;"|"&amp;VLOOKUP(Nutrients_from_current_land_use!$B$8,Value_look_up_tables!$A$140:$B$141,2,FALSE)&amp;"|"&amp;VLOOKUP(Nutrients_from_current_land_use!$B$7,Value_look_up_tables!$A$101:$C$123,3,FALSE)&amp;"|"&amp;VLOOKUP($B$6,Value_look_up_tables!$A$131:$B$136,2,FALSE),Value_look_up_tables!$F$16:$H$97,3,FALSE),IFERROR($B22*VLOOKUP($A22&amp;"|"&amp;"TRUE"&amp;"|"&amp;VLOOKUP(Nutrients_from_current_land_use!$B$7,Value_look_up_tables!$A$101:$C$123,3,FALSE)&amp;"|"&amp;VLOOKUP($B$6,Value_look_up_tables!$A$131:$B$136,2,FALSE),Value_look_up_tables!$F$16:$H$97,3,FALSE),$B22*VLOOKUP($A22&amp;"|"&amp;VLOOKUP(Nutrients_from_current_land_use!$B$8,Value_look_up_tables!$A$140:$B$141,2,FALSE)&amp;"|"&amp;VLOOKUP(Nutrients_from_current_land_use!$B$7,Value_look_up_tables!$A$101:$C$123,3,FALSE)&amp;"|"&amp;"DrainedArGr",Value_look_up_tables!$F$16:$H$97,3,FALSE))),IFERROR($B22*VLOOKUP($A22&amp;"|"&amp;VLOOKUP(Nutrients_from_current_land_use!$B$7,Value_look_up_tables!$A$101:$C$123,3,FALSE),Value_look_up_tables!$I$16:$K$89,3,FALSE),$B22*VLOOKUP($A22,Value_look_up_tables!$B$16:$M$89,12,FALSE)))))</f>
        <v>0</v>
      </c>
      <c r="E22" s="37" t="str">
        <f>IF(OR(ISBLANK($A22),ISBLANK($B22),ISBLANK($B$6),ISBLANK($B$5),ISBLANK($B$7),$A22="Residential urban land",$A22="Commercial/industrial urban land",$A22="Open urban land",$A22="Greenspace",$A22="Community food growing",$A22="Woodland",$A22="Shrub",$A22="Water"),"Not applicable",IF(ISNUMBER(IFERROR($B22*VLOOKUP((IF(OR($A22="Residential urban land",$A22="Commercial/industrial urban land",$A22="Open urban land",$A22="Greenspace",$A22="Community food growing",$A22="Woodland",$A22="Shrub",$A22="Water"),"|||"&amp;$A22,(VLOOKUP(Nutrients_from_current_land_use!$B$5,Value_look_up_tables!$A$127:$B$127,2,FALSE)&amp;"|"&amp;$A22&amp;"|"&amp;VLOOKUP(Nutrients_from_current_land_use!$B$8,Value_look_up_tables!$A$140:$B$141,2,FALSE)&amp;"|"&amp;VLOOKUP(Nutrients_from_current_land_use!$B$7, Value_look_up_tables!$A$101:$C$123,3,FALSE)&amp;"|"&amp;VLOOKUP($B$6,Value_look_up_tables!$A$131:$B$136,2,FALSE)))), Value_look_up_tables!$F$16:$H$89,3,FALSE),IFERROR($B22*VLOOKUP($A22&amp;"|"&amp;VLOOKUP(Nutrients_from_current_land_use!$B$8,Value_look_up_tables!$A$140:$B$141,2,FALSE)&amp;"|"&amp;VLOOKUP(Nutrients_from_current_land_use!$B$7,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G22" s="29"/>
    </row>
    <row r="23" spans="1:7" ht="37.5" customHeight="1" x14ac:dyDescent="0.3">
      <c r="A23" s="18"/>
      <c r="B23" s="35"/>
      <c r="C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$97,2,FALSE),
IFERROR(IFERROR($B23*VLOOKUP($A23&amp;"|"&amp;VLOOKUP(Nutrients_from_current_land_use!$B$8,Value_look_up_tables!$A$140:$B$141,2,FALSE)&amp;"|"&amp;VLOOKUP(Nutrients_from_current_land_use!$B$7,Value_look_up_tables!$A$101:$C$123,3,FALSE)&amp;"|"&amp;VLOOKUP($B$6,Value_look_up_tables!$A$131:$B$136,2,FALSE),Value_look_up_tables!$F$16:$H$97,2,FALSE),IFERROR($B23*VLOOKUP($A23&amp;"|"&amp;"TRUE"&amp;"|"&amp;VLOOKUP(Nutrients_from_current_land_use!$B$7,Value_look_up_tables!$A$101:$C$123,3,FALSE)&amp;"|"&amp;VLOOKUP($B$6,Value_look_up_tables!$A$131:$B$136,2,FALSE),Value_look_up_tables!$F$16:$H$97,2,FALSE),$B23*VLOOKUP($A23&amp;"|"&amp;VLOOKUP(Nutrients_from_current_land_use!$B$8,Value_look_up_tables!$A$140:$B$141,2,FALSE)&amp;"|"&amp;VLOOKUP(Nutrients_from_current_land_use!$B$7,Value_look_up_tables!$A$101:$C$123,3,FALSE)&amp;"|"&amp;"DrainedArGr",Value_look_up_tables!$F$16:$H$97,2,FALSE))),IFERROR($B23*VLOOKUP($A23&amp;"|"&amp;VLOOKUP(Nutrients_from_current_land_use!$B$7,Value_look_up_tables!$A$101:$C$123,3,FALSE),Value_look_up_tables!$I$16:$K$89,2,FALSE),$B23*VLOOKUP($A23,Value_look_up_tables!$B$16:$M$89,11,FALSE)))))</f>
        <v>0</v>
      </c>
      <c r="D23" s="36">
        <f>IF(OR(ISBLANK($A23),ISBLANK($B23),ISBLANK($B$6),ISBLANK($B$7)),0,IFERROR($B23*VLOOKUP((IF(OR($A23="Residential urban land",$A23="Commercial/industrial urban land",$A23="Open urban land",$A23="Greenspace",$A23="Community food growing",$A23="Woodland",$A23="Shrub", $A23="Water"), "|||"&amp;$A23, (VLOOKUP(Nutrients_from_current_land_use!$B$5,Value_look_up_tables!$A$127:$B$127,2,FALSE)&amp;"|"&amp;$A23&amp;"|"&amp;VLOOKUP(Nutrients_from_current_land_use!$B$8,Value_look_up_tables!$A$140:$B$141,2,FALSE)&amp;"|"&amp;VLOOKUP(Nutrients_from_current_land_use!$B$7,Value_look_up_tables!$A$101:$C$123,3,FALSE)&amp;"|"&amp;VLOOKUP($B$6,Value_look_up_tables!$A$131:$B$136,2,FALSE)))),Value_look_up_tables!$F$16:$H$97,3,FALSE),
IFERROR(IFERROR($B23*VLOOKUP($A23&amp;"|"&amp;VLOOKUP(Nutrients_from_current_land_use!$B$8,Value_look_up_tables!$A$140:$B$141,2,FALSE)&amp;"|"&amp;VLOOKUP(Nutrients_from_current_land_use!$B$7,Value_look_up_tables!$A$101:$C$123,3,FALSE)&amp;"|"&amp;VLOOKUP($B$6,Value_look_up_tables!$A$131:$B$136,2,FALSE),Value_look_up_tables!$F$16:$H$97,3,FALSE),IFERROR($B23*VLOOKUP($A23&amp;"|"&amp;"TRUE"&amp;"|"&amp;VLOOKUP(Nutrients_from_current_land_use!$B$7,Value_look_up_tables!$A$101:$C$123,3,FALSE)&amp;"|"&amp;VLOOKUP($B$6,Value_look_up_tables!$A$131:$B$136,2,FALSE),Value_look_up_tables!$F$16:$H$97,3,FALSE),$B23*VLOOKUP($A23&amp;"|"&amp;VLOOKUP(Nutrients_from_current_land_use!$B$8,Value_look_up_tables!$A$140:$B$141,2,FALSE)&amp;"|"&amp;VLOOKUP(Nutrients_from_current_land_use!$B$7,Value_look_up_tables!$A$101:$C$123,3,FALSE)&amp;"|"&amp;"DrainedArGr",Value_look_up_tables!$F$16:$H$97,3,FALSE))),IFERROR($B23*VLOOKUP($A23&amp;"|"&amp;VLOOKUP(Nutrients_from_current_land_use!$B$7,Value_look_up_tables!$A$101:$C$123,3,FALSE),Value_look_up_tables!$I$16:$K$89,3,FALSE),$B23*VLOOKUP($A23,Value_look_up_tables!$B$16:$M$89,12,FALSE)))))</f>
        <v>0</v>
      </c>
      <c r="E23" s="37" t="str">
        <f>IF(OR(ISBLANK($A23),ISBLANK($B23),ISBLANK($B$6),ISBLANK($B$5),ISBLANK($B$7),$A23="Residential urban land",$A23="Commercial/industrial urban land",$A23="Open urban land",$A23="Greenspace",$A23="Community food growing",$A23="Woodland",$A23="Shrub",$A23="Water"),"Not applicable",IF(ISNUMBER(IFERROR($B23*VLOOKUP((IF(OR($A23="Residential urban land",$A23="Commercial/industrial urban land",$A23="Open urban land",$A23="Greenspace",$A23="Community food growing",$A23="Woodland",$A23="Shrub",$A23="Water"),"|||"&amp;$A23,(VLOOKUP(Nutrients_from_current_land_use!$B$5,Value_look_up_tables!$A$127:$B$127,2,FALSE)&amp;"|"&amp;$A23&amp;"|"&amp;VLOOKUP(Nutrients_from_current_land_use!$B$8,Value_look_up_tables!$A$140:$B$141,2,FALSE)&amp;"|"&amp;VLOOKUP(Nutrients_from_current_land_use!$B$7, Value_look_up_tables!$A$101:$C$123,3,FALSE)&amp;"|"&amp;VLOOKUP($B$6,Value_look_up_tables!$A$131:$B$136,2,FALSE)))), Value_look_up_tables!$F$16:$H$89,3,FALSE),IFERROR($B23*VLOOKUP($A23&amp;"|"&amp;VLOOKUP(Nutrients_from_current_land_use!$B$8,Value_look_up_tables!$A$140:$B$141,2,FALSE)&amp;"|"&amp;VLOOKUP(Nutrients_from_current_land_use!$B$7,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7" ht="37.5" customHeight="1" x14ac:dyDescent="0.3">
      <c r="A24" s="18"/>
      <c r="B24" s="35"/>
      <c r="C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$97,2,FALSE),
IFERROR(IFERROR($B24*VLOOKUP($A24&amp;"|"&amp;VLOOKUP(Nutrients_from_current_land_use!$B$8,Value_look_up_tables!$A$140:$B$141,2,FALSE)&amp;"|"&amp;VLOOKUP(Nutrients_from_current_land_use!$B$7,Value_look_up_tables!$A$101:$C$123,3,FALSE)&amp;"|"&amp;VLOOKUP($B$6,Value_look_up_tables!$A$131:$B$136,2,FALSE),Value_look_up_tables!$F$16:$H$97,2,FALSE),IFERROR($B24*VLOOKUP($A24&amp;"|"&amp;"TRUE"&amp;"|"&amp;VLOOKUP(Nutrients_from_current_land_use!$B$7,Value_look_up_tables!$A$101:$C$123,3,FALSE)&amp;"|"&amp;VLOOKUP($B$6,Value_look_up_tables!$A$131:$B$136,2,FALSE),Value_look_up_tables!$F$16:$H$97,2,FALSE),$B24*VLOOKUP($A24&amp;"|"&amp;VLOOKUP(Nutrients_from_current_land_use!$B$8,Value_look_up_tables!$A$140:$B$141,2,FALSE)&amp;"|"&amp;VLOOKUP(Nutrients_from_current_land_use!$B$7,Value_look_up_tables!$A$101:$C$123,3,FALSE)&amp;"|"&amp;"DrainedArGr",Value_look_up_tables!$F$16:$H$97,2,FALSE))),IFERROR($B24*VLOOKUP($A24&amp;"|"&amp;VLOOKUP(Nutrients_from_current_land_use!$B$7,Value_look_up_tables!$A$101:$C$123,3,FALSE),Value_look_up_tables!$I$16:$K$89,2,FALSE),$B24*VLOOKUP($A24,Value_look_up_tables!$B$16:$M$89,11,FALSE)))))</f>
        <v>0</v>
      </c>
      <c r="D24" s="36">
        <f>IF(OR(ISBLANK($A24),ISBLANK($B24),ISBLANK($B$6),ISBLANK($B$7)),0,IFERROR($B24*VLOOKUP((IF(OR($A24="Residential urban land",$A24="Commercial/industrial urban land",$A24="Open urban land",$A24="Greenspace",$A24="Community food growing",$A24="Woodland",$A24="Shrub", $A24="Water"), "|||"&amp;$A24, (VLOOKUP(Nutrients_from_current_land_use!$B$5,Value_look_up_tables!$A$127:$B$127,2,FALSE)&amp;"|"&amp;$A24&amp;"|"&amp;VLOOKUP(Nutrients_from_current_land_use!$B$8,Value_look_up_tables!$A$140:$B$141,2,FALSE)&amp;"|"&amp;VLOOKUP(Nutrients_from_current_land_use!$B$7,Value_look_up_tables!$A$101:$C$123,3,FALSE)&amp;"|"&amp;VLOOKUP($B$6,Value_look_up_tables!$A$131:$B$136,2,FALSE)))),Value_look_up_tables!$F$16:$H$97,3,FALSE),
IFERROR(IFERROR($B24*VLOOKUP($A24&amp;"|"&amp;VLOOKUP(Nutrients_from_current_land_use!$B$8,Value_look_up_tables!$A$140:$B$141,2,FALSE)&amp;"|"&amp;VLOOKUP(Nutrients_from_current_land_use!$B$7,Value_look_up_tables!$A$101:$C$123,3,FALSE)&amp;"|"&amp;VLOOKUP($B$6,Value_look_up_tables!$A$131:$B$136,2,FALSE),Value_look_up_tables!$F$16:$H$97,3,FALSE),IFERROR($B24*VLOOKUP($A24&amp;"|"&amp;"TRUE"&amp;"|"&amp;VLOOKUP(Nutrients_from_current_land_use!$B$7,Value_look_up_tables!$A$101:$C$123,3,FALSE)&amp;"|"&amp;VLOOKUP($B$6,Value_look_up_tables!$A$131:$B$136,2,FALSE),Value_look_up_tables!$F$16:$H$97,3,FALSE),$B24*VLOOKUP($A24&amp;"|"&amp;VLOOKUP(Nutrients_from_current_land_use!$B$8,Value_look_up_tables!$A$140:$B$141,2,FALSE)&amp;"|"&amp;VLOOKUP(Nutrients_from_current_land_use!$B$7,Value_look_up_tables!$A$101:$C$123,3,FALSE)&amp;"|"&amp;"DrainedArGr",Value_look_up_tables!$F$16:$H$97,3,FALSE))),IFERROR($B24*VLOOKUP($A24&amp;"|"&amp;VLOOKUP(Nutrients_from_current_land_use!$B$7,Value_look_up_tables!$A$101:$C$123,3,FALSE),Value_look_up_tables!$I$16:$K$89,3,FALSE),$B24*VLOOKUP($A24,Value_look_up_tables!$B$16:$M$89,12,FALSE)))))</f>
        <v>0</v>
      </c>
      <c r="E24" s="37" t="str">
        <f>IF(OR(ISBLANK($A24),ISBLANK($B24),ISBLANK($B$6),ISBLANK($B$5),ISBLANK($B$7),$A24="Residential urban land",$A24="Commercial/industrial urban land",$A24="Open urban land",$A24="Greenspace",$A24="Community food growing",$A24="Woodland",$A24="Shrub",$A24="Water"),"Not applicable",IF(ISNUMBER(IFERROR($B24*VLOOKUP((IF(OR($A24="Residential urban land",$A24="Commercial/industrial urban land",$A24="Open urban land",$A24="Greenspace",$A24="Community food growing",$A24="Woodland",$A24="Shrub",$A24="Water"),"|||"&amp;$A24,(VLOOKUP(Nutrients_from_current_land_use!$B$5,Value_look_up_tables!$A$127:$B$127,2,FALSE)&amp;"|"&amp;$A24&amp;"|"&amp;VLOOKUP(Nutrients_from_current_land_use!$B$8,Value_look_up_tables!$A$140:$B$141,2,FALSE)&amp;"|"&amp;VLOOKUP(Nutrients_from_current_land_use!$B$7, Value_look_up_tables!$A$101:$C$123,3,FALSE)&amp;"|"&amp;VLOOKUP($B$6,Value_look_up_tables!$A$131:$B$136,2,FALSE)))), Value_look_up_tables!$F$16:$H$89,3,FALSE),IFERROR($B24*VLOOKUP($A24&amp;"|"&amp;VLOOKUP(Nutrients_from_current_land_use!$B$8,Value_look_up_tables!$A$140:$B$141,2,FALSE)&amp;"|"&amp;VLOOKUP(Nutrients_from_current_land_use!$B$7,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7" ht="37.5" customHeight="1" x14ac:dyDescent="0.3">
      <c r="A25" s="18"/>
      <c r="B25" s="35"/>
      <c r="C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$97,2,FALSE),
IFERROR(IFERROR($B25*VLOOKUP($A25&amp;"|"&amp;VLOOKUP(Nutrients_from_current_land_use!$B$8,Value_look_up_tables!$A$140:$B$141,2,FALSE)&amp;"|"&amp;VLOOKUP(Nutrients_from_current_land_use!$B$7,Value_look_up_tables!$A$101:$C$123,3,FALSE)&amp;"|"&amp;VLOOKUP($B$6,Value_look_up_tables!$A$131:$B$136,2,FALSE),Value_look_up_tables!$F$16:$H$97,2,FALSE),IFERROR($B25*VLOOKUP($A25&amp;"|"&amp;"TRUE"&amp;"|"&amp;VLOOKUP(Nutrients_from_current_land_use!$B$7,Value_look_up_tables!$A$101:$C$123,3,FALSE)&amp;"|"&amp;VLOOKUP($B$6,Value_look_up_tables!$A$131:$B$136,2,FALSE),Value_look_up_tables!$F$16:$H$97,2,FALSE),$B25*VLOOKUP($A25&amp;"|"&amp;VLOOKUP(Nutrients_from_current_land_use!$B$8,Value_look_up_tables!$A$140:$B$141,2,FALSE)&amp;"|"&amp;VLOOKUP(Nutrients_from_current_land_use!$B$7,Value_look_up_tables!$A$101:$C$123,3,FALSE)&amp;"|"&amp;"DrainedArGr",Value_look_up_tables!$F$16:$H$97,2,FALSE))),IFERROR($B25*VLOOKUP($A25&amp;"|"&amp;VLOOKUP(Nutrients_from_current_land_use!$B$7,Value_look_up_tables!$A$101:$C$123,3,FALSE),Value_look_up_tables!$I$16:$K$89,2,FALSE),$B25*VLOOKUP($A25,Value_look_up_tables!$B$16:$M$89,11,FALSE)))))</f>
        <v>0</v>
      </c>
      <c r="D25" s="36">
        <f>IF(OR(ISBLANK($A25),ISBLANK($B25),ISBLANK($B$6),ISBLANK($B$7)),0,IFERROR($B25*VLOOKUP((IF(OR($A25="Residential urban land",$A25="Commercial/industrial urban land",$A25="Open urban land",$A25="Greenspace",$A25="Community food growing",$A25="Woodland",$A25="Shrub", $A25="Water"), "|||"&amp;$A25, (VLOOKUP(Nutrients_from_current_land_use!$B$5,Value_look_up_tables!$A$127:$B$127,2,FALSE)&amp;"|"&amp;$A25&amp;"|"&amp;VLOOKUP(Nutrients_from_current_land_use!$B$8,Value_look_up_tables!$A$140:$B$141,2,FALSE)&amp;"|"&amp;VLOOKUP(Nutrients_from_current_land_use!$B$7,Value_look_up_tables!$A$101:$C$123,3,FALSE)&amp;"|"&amp;VLOOKUP($B$6,Value_look_up_tables!$A$131:$B$136,2,FALSE)))),Value_look_up_tables!$F$16:$H$97,3,FALSE),
IFERROR(IFERROR($B25*VLOOKUP($A25&amp;"|"&amp;VLOOKUP(Nutrients_from_current_land_use!$B$8,Value_look_up_tables!$A$140:$B$141,2,FALSE)&amp;"|"&amp;VLOOKUP(Nutrients_from_current_land_use!$B$7,Value_look_up_tables!$A$101:$C$123,3,FALSE)&amp;"|"&amp;VLOOKUP($B$6,Value_look_up_tables!$A$131:$B$136,2,FALSE),Value_look_up_tables!$F$16:$H$97,3,FALSE),IFERROR($B25*VLOOKUP($A25&amp;"|"&amp;"TRUE"&amp;"|"&amp;VLOOKUP(Nutrients_from_current_land_use!$B$7,Value_look_up_tables!$A$101:$C$123,3,FALSE)&amp;"|"&amp;VLOOKUP($B$6,Value_look_up_tables!$A$131:$B$136,2,FALSE),Value_look_up_tables!$F$16:$H$97,3,FALSE),$B25*VLOOKUP($A25&amp;"|"&amp;VLOOKUP(Nutrients_from_current_land_use!$B$8,Value_look_up_tables!$A$140:$B$141,2,FALSE)&amp;"|"&amp;VLOOKUP(Nutrients_from_current_land_use!$B$7,Value_look_up_tables!$A$101:$C$123,3,FALSE)&amp;"|"&amp;"DrainedArGr",Value_look_up_tables!$F$16:$H$97,3,FALSE))),IFERROR($B25*VLOOKUP($A25&amp;"|"&amp;VLOOKUP(Nutrients_from_current_land_use!$B$7,Value_look_up_tables!$A$101:$C$123,3,FALSE),Value_look_up_tables!$I$16:$K$89,3,FALSE),$B25*VLOOKUP($A25,Value_look_up_tables!$B$16:$M$89,12,FALSE)))))</f>
        <v>0</v>
      </c>
      <c r="E25" s="37" t="str">
        <f>IF(OR(ISBLANK($A25),ISBLANK($B25),ISBLANK($B$6),ISBLANK($B$5),ISBLANK($B$7),$A25="Residential urban land",$A25="Commercial/industrial urban land",$A25="Open urban land",$A25="Greenspace",$A25="Community food growing",$A25="Woodland",$A25="Shrub",$A25="Water"),"Not applicable",IF(ISNUMBER(IFERROR($B25*VLOOKUP((IF(OR($A25="Residential urban land",$A25="Commercial/industrial urban land",$A25="Open urban land",$A25="Greenspace",$A25="Community food growing",$A25="Woodland",$A25="Shrub",$A25="Water"),"|||"&amp;$A25,(VLOOKUP(Nutrients_from_current_land_use!$B$5,Value_look_up_tables!$A$127:$B$127,2,FALSE)&amp;"|"&amp;$A25&amp;"|"&amp;VLOOKUP(Nutrients_from_current_land_use!$B$8,Value_look_up_tables!$A$140:$B$141,2,FALSE)&amp;"|"&amp;VLOOKUP(Nutrients_from_current_land_use!$B$7, Value_look_up_tables!$A$101:$C$123,3,FALSE)&amp;"|"&amp;VLOOKUP($B$6,Value_look_up_tables!$A$131:$B$136,2,FALSE)))), Value_look_up_tables!$F$16:$H$89,3,FALSE),IFERROR($B25*VLOOKUP($A25&amp;"|"&amp;VLOOKUP(Nutrients_from_current_land_use!$B$8,Value_look_up_tables!$A$140:$B$141,2,FALSE)&amp;"|"&amp;VLOOKUP(Nutrients_from_current_land_use!$B$7,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7" ht="37.5" customHeight="1" x14ac:dyDescent="0.3">
      <c r="A26" s="18"/>
      <c r="B26" s="35"/>
      <c r="C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$97,2,FALSE),
IFERROR(IFERROR($B26*VLOOKUP($A26&amp;"|"&amp;VLOOKUP(Nutrients_from_current_land_use!$B$8,Value_look_up_tables!$A$140:$B$141,2,FALSE)&amp;"|"&amp;VLOOKUP(Nutrients_from_current_land_use!$B$7,Value_look_up_tables!$A$101:$C$123,3,FALSE)&amp;"|"&amp;VLOOKUP($B$6,Value_look_up_tables!$A$131:$B$136,2,FALSE),Value_look_up_tables!$F$16:$H$97,2,FALSE),IFERROR($B26*VLOOKUP($A26&amp;"|"&amp;"TRUE"&amp;"|"&amp;VLOOKUP(Nutrients_from_current_land_use!$B$7,Value_look_up_tables!$A$101:$C$123,3,FALSE)&amp;"|"&amp;VLOOKUP($B$6,Value_look_up_tables!$A$131:$B$136,2,FALSE),Value_look_up_tables!$F$16:$H$97,2,FALSE),$B26*VLOOKUP($A26&amp;"|"&amp;VLOOKUP(Nutrients_from_current_land_use!$B$8,Value_look_up_tables!$A$140:$B$141,2,FALSE)&amp;"|"&amp;VLOOKUP(Nutrients_from_current_land_use!$B$7,Value_look_up_tables!$A$101:$C$123,3,FALSE)&amp;"|"&amp;"DrainedArGr",Value_look_up_tables!$F$16:$H$97,2,FALSE))),IFERROR($B26*VLOOKUP($A26&amp;"|"&amp;VLOOKUP(Nutrients_from_current_land_use!$B$7,Value_look_up_tables!$A$101:$C$123,3,FALSE),Value_look_up_tables!$I$16:$K$89,2,FALSE),$B26*VLOOKUP($A26,Value_look_up_tables!$B$16:$M$89,11,FALSE)))))</f>
        <v>0</v>
      </c>
      <c r="D26" s="36">
        <f>IF(OR(ISBLANK($A26),ISBLANK($B26),ISBLANK($B$6),ISBLANK($B$7)),0,IFERROR($B26*VLOOKUP((IF(OR($A26="Residential urban land",$A26="Commercial/industrial urban land",$A26="Open urban land",$A26="Greenspace",$A26="Community food growing",$A26="Woodland",$A26="Shrub", $A26="Water"), "|||"&amp;$A26, (VLOOKUP(Nutrients_from_current_land_use!$B$5,Value_look_up_tables!$A$127:$B$127,2,FALSE)&amp;"|"&amp;$A26&amp;"|"&amp;VLOOKUP(Nutrients_from_current_land_use!$B$8,Value_look_up_tables!$A$140:$B$141,2,FALSE)&amp;"|"&amp;VLOOKUP(Nutrients_from_current_land_use!$B$7,Value_look_up_tables!$A$101:$C$123,3,FALSE)&amp;"|"&amp;VLOOKUP($B$6,Value_look_up_tables!$A$131:$B$136,2,FALSE)))),Value_look_up_tables!$F$16:$H$97,3,FALSE),
IFERROR(IFERROR($B26*VLOOKUP($A26&amp;"|"&amp;VLOOKUP(Nutrients_from_current_land_use!$B$8,Value_look_up_tables!$A$140:$B$141,2,FALSE)&amp;"|"&amp;VLOOKUP(Nutrients_from_current_land_use!$B$7,Value_look_up_tables!$A$101:$C$123,3,FALSE)&amp;"|"&amp;VLOOKUP($B$6,Value_look_up_tables!$A$131:$B$136,2,FALSE),Value_look_up_tables!$F$16:$H$97,3,FALSE),IFERROR($B26*VLOOKUP($A26&amp;"|"&amp;"TRUE"&amp;"|"&amp;VLOOKUP(Nutrients_from_current_land_use!$B$7,Value_look_up_tables!$A$101:$C$123,3,FALSE)&amp;"|"&amp;VLOOKUP($B$6,Value_look_up_tables!$A$131:$B$136,2,FALSE),Value_look_up_tables!$F$16:$H$97,3,FALSE),$B26*VLOOKUP($A26&amp;"|"&amp;VLOOKUP(Nutrients_from_current_land_use!$B$8,Value_look_up_tables!$A$140:$B$141,2,FALSE)&amp;"|"&amp;VLOOKUP(Nutrients_from_current_land_use!$B$7,Value_look_up_tables!$A$101:$C$123,3,FALSE)&amp;"|"&amp;"DrainedArGr",Value_look_up_tables!$F$16:$H$97,3,FALSE))),IFERROR($B26*VLOOKUP($A26&amp;"|"&amp;VLOOKUP(Nutrients_from_current_land_use!$B$7,Value_look_up_tables!$A$101:$C$123,3,FALSE),Value_look_up_tables!$I$16:$K$89,3,FALSE),$B26*VLOOKUP($A26,Value_look_up_tables!$B$16:$M$89,12,FALSE)))))</f>
        <v>0</v>
      </c>
      <c r="E26" s="37" t="str">
        <f>IF(OR(ISBLANK($A26),ISBLANK($B26),ISBLANK($B$6),ISBLANK($B$5),ISBLANK($B$7),$A26="Residential urban land",$A26="Commercial/industrial urban land",$A26="Open urban land",$A26="Greenspace",$A26="Community food growing",$A26="Woodland",$A26="Shrub",$A26="Water"),"Not applicable",IF(ISNUMBER(IFERROR($B26*VLOOKUP((IF(OR($A26="Residential urban land",$A26="Commercial/industrial urban land",$A26="Open urban land",$A26="Greenspace",$A26="Community food growing",$A26="Woodland",$A26="Shrub",$A26="Water"),"|||"&amp;$A26,(VLOOKUP(Nutrients_from_current_land_use!$B$5,Value_look_up_tables!$A$127:$B$127,2,FALSE)&amp;"|"&amp;$A26&amp;"|"&amp;VLOOKUP(Nutrients_from_current_land_use!$B$8,Value_look_up_tables!$A$140:$B$141,2,FALSE)&amp;"|"&amp;VLOOKUP(Nutrients_from_current_land_use!$B$7, Value_look_up_tables!$A$101:$C$123,3,FALSE)&amp;"|"&amp;VLOOKUP($B$6,Value_look_up_tables!$A$131:$B$136,2,FALSE)))), Value_look_up_tables!$F$16:$H$89,3,FALSE),IFERROR($B26*VLOOKUP($A26&amp;"|"&amp;VLOOKUP(Nutrients_from_current_land_use!$B$8,Value_look_up_tables!$A$140:$B$141,2,FALSE)&amp;"|"&amp;VLOOKUP(Nutrients_from_current_land_use!$B$7,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7" ht="37.5" customHeight="1" x14ac:dyDescent="0.3">
      <c r="A27" s="18"/>
      <c r="B27" s="35"/>
      <c r="C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$97,2,FALSE),
IFERROR(IFERROR($B27*VLOOKUP($A27&amp;"|"&amp;VLOOKUP(Nutrients_from_current_land_use!$B$8,Value_look_up_tables!$A$140:$B$141,2,FALSE)&amp;"|"&amp;VLOOKUP(Nutrients_from_current_land_use!$B$7,Value_look_up_tables!$A$101:$C$123,3,FALSE)&amp;"|"&amp;VLOOKUP($B$6,Value_look_up_tables!$A$131:$B$136,2,FALSE),Value_look_up_tables!$F$16:$H$97,2,FALSE),IFERROR($B27*VLOOKUP($A27&amp;"|"&amp;"TRUE"&amp;"|"&amp;VLOOKUP(Nutrients_from_current_land_use!$B$7,Value_look_up_tables!$A$101:$C$123,3,FALSE)&amp;"|"&amp;VLOOKUP($B$6,Value_look_up_tables!$A$131:$B$136,2,FALSE),Value_look_up_tables!$F$16:$H$97,2,FALSE),$B27*VLOOKUP($A27&amp;"|"&amp;VLOOKUP(Nutrients_from_current_land_use!$B$8,Value_look_up_tables!$A$140:$B$141,2,FALSE)&amp;"|"&amp;VLOOKUP(Nutrients_from_current_land_use!$B$7,Value_look_up_tables!$A$101:$C$123,3,FALSE)&amp;"|"&amp;"DrainedArGr",Value_look_up_tables!$F$16:$H$97,2,FALSE))),IFERROR($B27*VLOOKUP($A27&amp;"|"&amp;VLOOKUP(Nutrients_from_current_land_use!$B$7,Value_look_up_tables!$A$101:$C$123,3,FALSE),Value_look_up_tables!$I$16:$K$89,2,FALSE),$B27*VLOOKUP($A27,Value_look_up_tables!$B$16:$M$89,11,FALSE)))))</f>
        <v>0</v>
      </c>
      <c r="D27" s="36">
        <f>IF(OR(ISBLANK($A27),ISBLANK($B27),ISBLANK($B$6),ISBLANK($B$7)),0,IFERROR($B27*VLOOKUP((IF(OR($A27="Residential urban land",$A27="Commercial/industrial urban land",$A27="Open urban land",$A27="Greenspace",$A27="Community food growing",$A27="Woodland",$A27="Shrub", $A27="Water"), "|||"&amp;$A27, (VLOOKUP(Nutrients_from_current_land_use!$B$5,Value_look_up_tables!$A$127:$B$127,2,FALSE)&amp;"|"&amp;$A27&amp;"|"&amp;VLOOKUP(Nutrients_from_current_land_use!$B$8,Value_look_up_tables!$A$140:$B$141,2,FALSE)&amp;"|"&amp;VLOOKUP(Nutrients_from_current_land_use!$B$7,Value_look_up_tables!$A$101:$C$123,3,FALSE)&amp;"|"&amp;VLOOKUP($B$6,Value_look_up_tables!$A$131:$B$136,2,FALSE)))),Value_look_up_tables!$F$16:$H$97,3,FALSE),
IFERROR(IFERROR($B27*VLOOKUP($A27&amp;"|"&amp;VLOOKUP(Nutrients_from_current_land_use!$B$8,Value_look_up_tables!$A$140:$B$141,2,FALSE)&amp;"|"&amp;VLOOKUP(Nutrients_from_current_land_use!$B$7,Value_look_up_tables!$A$101:$C$123,3,FALSE)&amp;"|"&amp;VLOOKUP($B$6,Value_look_up_tables!$A$131:$B$136,2,FALSE),Value_look_up_tables!$F$16:$H$97,3,FALSE),IFERROR($B27*VLOOKUP($A27&amp;"|"&amp;"TRUE"&amp;"|"&amp;VLOOKUP(Nutrients_from_current_land_use!$B$7,Value_look_up_tables!$A$101:$C$123,3,FALSE)&amp;"|"&amp;VLOOKUP($B$6,Value_look_up_tables!$A$131:$B$136,2,FALSE),Value_look_up_tables!$F$16:$H$97,3,FALSE),$B27*VLOOKUP($A27&amp;"|"&amp;VLOOKUP(Nutrients_from_current_land_use!$B$8,Value_look_up_tables!$A$140:$B$141,2,FALSE)&amp;"|"&amp;VLOOKUP(Nutrients_from_current_land_use!$B$7,Value_look_up_tables!$A$101:$C$123,3,FALSE)&amp;"|"&amp;"DrainedArGr",Value_look_up_tables!$F$16:$H$97,3,FALSE))),IFERROR($B27*VLOOKUP($A27&amp;"|"&amp;VLOOKUP(Nutrients_from_current_land_use!$B$7,Value_look_up_tables!$A$101:$C$123,3,FALSE),Value_look_up_tables!$I$16:$K$89,3,FALSE),$B27*VLOOKUP($A27,Value_look_up_tables!$B$16:$M$89,12,FALSE)))))</f>
        <v>0</v>
      </c>
      <c r="E27" s="37" t="str">
        <f>IF(OR(ISBLANK($A27),ISBLANK($B27),ISBLANK($B$6),ISBLANK($B$5),ISBLANK($B$7),$A27="Residential urban land",$A27="Commercial/industrial urban land",$A27="Open urban land",$A27="Greenspace",$A27="Community food growing",$A27="Woodland",$A27="Shrub",$A27="Water"),"Not applicable",IF(ISNUMBER(IFERROR($B27*VLOOKUP((IF(OR($A27="Residential urban land",$A27="Commercial/industrial urban land",$A27="Open urban land",$A27="Greenspace",$A27="Community food growing",$A27="Woodland",$A27="Shrub",$A27="Water"),"|||"&amp;$A27,(VLOOKUP(Nutrients_from_current_land_use!$B$5,Value_look_up_tables!$A$127:$B$127,2,FALSE)&amp;"|"&amp;$A27&amp;"|"&amp;VLOOKUP(Nutrients_from_current_land_use!$B$8,Value_look_up_tables!$A$140:$B$141,2,FALSE)&amp;"|"&amp;VLOOKUP(Nutrients_from_current_land_use!$B$7, Value_look_up_tables!$A$101:$C$123,3,FALSE)&amp;"|"&amp;VLOOKUP($B$6,Value_look_up_tables!$A$131:$B$136,2,FALSE)))), Value_look_up_tables!$F$16:$H$89,3,FALSE),IFERROR($B27*VLOOKUP($A27&amp;"|"&amp;VLOOKUP(Nutrients_from_current_land_use!$B$8,Value_look_up_tables!$A$140:$B$141,2,FALSE)&amp;"|"&amp;VLOOKUP(Nutrients_from_current_land_use!$B$7, Value_look_up_tables!$A$101:$C$123,3,FALSE)&amp;"|"&amp;VLOOKUP($B$6,Value_look_up_tables!$A$131:$B$136,2,FALSE),Value_look_up_tables!$F$16:$H$89,3,FALSE),"In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7" ht="24" customHeight="1" x14ac:dyDescent="0.3">
      <c r="A28" s="46" t="s">
        <v>95</v>
      </c>
      <c r="B28" s="38">
        <f>SUM(B11:B27)</f>
        <v>0</v>
      </c>
      <c r="C28" s="38">
        <f>SUM(C11:C27)</f>
        <v>0</v>
      </c>
      <c r="D28" s="38">
        <f>SUM(D11:D27)</f>
        <v>0</v>
      </c>
      <c r="E28" s="61"/>
    </row>
    <row r="30" spans="1:7" ht="15.6" x14ac:dyDescent="0.3">
      <c r="G30" s="10"/>
    </row>
  </sheetData>
  <sheetProtection algorithmName="SHA-512" hashValue="61CmYie1787DhxzvuHGc20AW8aatSvudOgTpDu5iHjDC/qUznLJDtolJ7p8fYYf2Wai5hYAzL1YkLTItkZ7zmA==" saltValue="qyHP0OdgoO14w7QY5tOGHA=="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E11:E27">
    <cfRule type="expression" dxfId="0" priority="14">
      <formula>($E11="In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Value_look_up_tables!$A$127</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Value_look_up_tables!$A$109:$A$116</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Value_look_up_tables!$A$140:$A$141</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Value_look_up_tables!$A$131:$A$136</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Value_look_up_tables!$A$165:$A$180</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F22"/>
  <sheetViews>
    <sheetView topLeftCell="A2" zoomScaleNormal="100" workbookViewId="0">
      <selection activeCell="F12" sqref="F12"/>
    </sheetView>
  </sheetViews>
  <sheetFormatPr defaultColWidth="9.109375" defaultRowHeight="15" x14ac:dyDescent="0.25"/>
  <cols>
    <col min="1" max="1" width="79" style="12" customWidth="1"/>
    <col min="2" max="2" width="16.33203125" style="12" customWidth="1"/>
    <col min="3" max="3" width="24.6640625" style="12" customWidth="1"/>
    <col min="4" max="4" width="24.5546875" style="12" customWidth="1"/>
    <col min="5" max="474" width="8.5546875" style="12" customWidth="1"/>
    <col min="475" max="16384" width="9.109375" style="12"/>
  </cols>
  <sheetData>
    <row r="1" spans="1:4" ht="51" customHeight="1" x14ac:dyDescent="0.25">
      <c r="A1" s="1" t="s">
        <v>16</v>
      </c>
      <c r="B1" s="39"/>
      <c r="C1" s="10"/>
      <c r="D1" s="10"/>
    </row>
    <row r="2" spans="1:4" ht="255" customHeight="1" x14ac:dyDescent="0.25">
      <c r="A2" s="97" t="s">
        <v>96</v>
      </c>
      <c r="B2" s="10"/>
      <c r="C2" s="10"/>
      <c r="D2" s="10"/>
    </row>
    <row r="3" spans="1:4" ht="49.5" customHeight="1" x14ac:dyDescent="0.3">
      <c r="A3" s="4" t="s">
        <v>97</v>
      </c>
      <c r="B3" s="40"/>
      <c r="C3" s="40"/>
      <c r="D3" s="40"/>
    </row>
    <row r="4" spans="1:4" ht="54" customHeight="1" x14ac:dyDescent="0.25">
      <c r="A4" s="41" t="s">
        <v>98</v>
      </c>
      <c r="B4" s="41" t="s">
        <v>91</v>
      </c>
      <c r="C4" s="41" t="s">
        <v>99</v>
      </c>
      <c r="D4" s="41" t="s">
        <v>100</v>
      </c>
    </row>
    <row r="5" spans="1:4" ht="23.25" customHeight="1" x14ac:dyDescent="0.25">
      <c r="A5" s="42"/>
      <c r="B5" s="35"/>
      <c r="C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5" s="36">
        <f>IFERROR(IF(OR(ISBLANK(A5),ISBLANK(B5)),0,B5*VLOOKUP((IF(OR(A5="Residential urban land",A5="Commercial/industrial urban land",A5="Open urban land",A5="Greenspace",A5="Community food growing",A5="Woodland",A5="Shrub", A5="Water"), "|||"&amp;A5, (VLOOKUP(Nutrients_from_current_land_use!$B$5,Value_look_up_tables!$A$127:$B$127,2,FALSE)&amp;"|"&amp;A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6" spans="1:4" ht="23.25" customHeight="1" x14ac:dyDescent="0.25">
      <c r="A6" s="43"/>
      <c r="B6" s="44"/>
      <c r="C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6" s="36">
        <f>IFERROR(IF(OR(ISBLANK(A6),ISBLANK(B6)),0,B6*VLOOKUP((IF(OR(A6="Residential urban land",A6="Commercial/industrial urban land",A6="Open urban land",A6="Greenspace",A6="Community food growing",A6="Woodland",A6="Shrub", A6="Water"), "|||"&amp;A6, (VLOOKUP(Nutrients_from_current_land_use!$B$5,Value_look_up_tables!$A$127:$B$127,2,FALSE)&amp;"|"&amp;A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7" spans="1:4" ht="23.25" customHeight="1" x14ac:dyDescent="0.25">
      <c r="A7" s="43"/>
      <c r="B7" s="44"/>
      <c r="C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7" s="36">
        <f>IFERROR(IF(OR(ISBLANK(A7),ISBLANK(B7)),0,B7*VLOOKUP((IF(OR(A7="Residential urban land",A7="Commercial/industrial urban land",A7="Open urban land",A7="Greenspace",A7="Community food growing",A7="Woodland",A7="Shrub", A7="Water"), "|||"&amp;A7, (VLOOKUP(Nutrients_from_current_land_use!$B$5,Value_look_up_tables!$A$127:$B$127,2,FALSE)&amp;"|"&amp;A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8" spans="1:4" ht="23.25" customHeight="1" x14ac:dyDescent="0.25">
      <c r="A8" s="43"/>
      <c r="B8" s="44"/>
      <c r="C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8" s="36">
        <f>IFERROR(IF(OR(ISBLANK(A8),ISBLANK(B8)),0,B8*VLOOKUP((IF(OR(A8="Residential urban land",A8="Commercial/industrial urban land",A8="Open urban land",A8="Greenspace",A8="Community food growing",A8="Woodland",A8="Shrub", A8="Water"), "|||"&amp;A8, (VLOOKUP(Nutrients_from_current_land_use!$B$5,Value_look_up_tables!$A$127:$B$127,2,FALSE)&amp;"|"&amp;A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9" spans="1:4" ht="23.25" customHeight="1" x14ac:dyDescent="0.25">
      <c r="A9" s="43"/>
      <c r="B9" s="44"/>
      <c r="C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9" s="36">
        <f>IFERROR(IF(OR(ISBLANK(A9),ISBLANK(B9)),0,B9*VLOOKUP((IF(OR(A9="Residential urban land",A9="Commercial/industrial urban land",A9="Open urban land",A9="Greenspace",A9="Community food growing",A9="Woodland",A9="Shrub", A9="Water"), "|||"&amp;A9, (VLOOKUP(Nutrients_from_current_land_use!$B$5,Value_look_up_tables!$A$127:$B$127,2,FALSE)&amp;"|"&amp;A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0" spans="1:4" ht="23.25" customHeight="1" x14ac:dyDescent="0.25">
      <c r="A10" s="43"/>
      <c r="B10" s="44"/>
      <c r="C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0" s="36">
        <f>IFERROR(IF(OR(ISBLANK(A10),ISBLANK(B10)),0,B10*VLOOKUP((IF(OR(A10="Residential urban land",A10="Commercial/industrial urban land",A10="Open urban land",A10="Greenspace",A10="Community food growing",A10="Woodland",A10="Shrub", A10="Water"), "|||"&amp;A10, (VLOOKUP(Nutrients_from_current_land_use!$B$5,Value_look_up_tables!$A$127:$B$127,2,FALSE)&amp;"|"&amp;A10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1" spans="1:4" ht="23.25" customHeight="1" x14ac:dyDescent="0.25">
      <c r="A11" s="43"/>
      <c r="B11" s="44"/>
      <c r="C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1" s="36">
        <f>IFERROR(IF(OR(ISBLANK(A11),ISBLANK(B11)),0,B11*VLOOKUP((IF(OR(A11="Residential urban land",A11="Commercial/industrial urban land",A11="Open urban land",A11="Greenspace",A11="Community food growing",A11="Woodland",A11="Shrub", A11="Water"), "|||"&amp;A11, (VLOOKUP(Nutrients_from_current_land_use!$B$5,Value_look_up_tables!$A$127:$B$127,2,FALSE)&amp;"|"&amp;A11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2" spans="1:4" ht="23.25" customHeight="1" x14ac:dyDescent="0.25">
      <c r="A12" s="43"/>
      <c r="B12" s="44"/>
      <c r="C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2" s="36">
        <f>IFERROR(IF(OR(ISBLANK(A12),ISBLANK(B12)),0,B12*VLOOKUP((IF(OR(A12="Residential urban land",A12="Commercial/industrial urban land",A12="Open urban land",A12="Greenspace",A12="Community food growing",A12="Woodland",A12="Shrub", A12="Water"), "|||"&amp;A12, (VLOOKUP(Nutrients_from_current_land_use!$B$5,Value_look_up_tables!$A$127:$B$127,2,FALSE)&amp;"|"&amp;A12&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3" spans="1:4" ht="23.25" customHeight="1" x14ac:dyDescent="0.25">
      <c r="A13" s="43"/>
      <c r="B13" s="44"/>
      <c r="C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3" s="36">
        <f>IFERROR(IF(OR(ISBLANK(A13),ISBLANK(B13)),0,B13*VLOOKUP((IF(OR(A13="Residential urban land",A13="Commercial/industrial urban land",A13="Open urban land",A13="Greenspace",A13="Community food growing",A13="Woodland",A13="Shrub", A13="Water"), "|||"&amp;A13, (VLOOKUP(Nutrients_from_current_land_use!$B$5,Value_look_up_tables!$A$127:$B$127,2,FALSE)&amp;"|"&amp;A13&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4" spans="1:4" ht="23.25" customHeight="1" x14ac:dyDescent="0.25">
      <c r="A14" s="43"/>
      <c r="B14" s="44"/>
      <c r="C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4" s="36">
        <f>IFERROR(IF(OR(ISBLANK(A14),ISBLANK(B14)),0,B14*VLOOKUP((IF(OR(A14="Residential urban land",A14="Commercial/industrial urban land",A14="Open urban land",A14="Greenspace",A14="Community food growing",A14="Woodland",A14="Shrub", A14="Water"), "|||"&amp;A14, (VLOOKUP(Nutrients_from_current_land_use!$B$5,Value_look_up_tables!$A$127:$B$127,2,FALSE)&amp;"|"&amp;A14&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5" spans="1:4" ht="23.25" customHeight="1" x14ac:dyDescent="0.25">
      <c r="A15" s="43"/>
      <c r="B15" s="44"/>
      <c r="C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5" s="36">
        <f>IFERROR(IF(OR(ISBLANK(A15),ISBLANK(B15)),0,B15*VLOOKUP((IF(OR(A15="Residential urban land",A15="Commercial/industrial urban land",A15="Open urban land",A15="Greenspace",A15="Community food growing",A15="Woodland",A15="Shrub", A15="Water"), "|||"&amp;A15, (VLOOKUP(Nutrients_from_current_land_use!$B$5,Value_look_up_tables!$A$127:$B$127,2,FALSE)&amp;"|"&amp;A15&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6" spans="1:4" ht="23.25" customHeight="1" x14ac:dyDescent="0.25">
      <c r="A16" s="43"/>
      <c r="B16" s="44"/>
      <c r="C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6" s="36">
        <f>IFERROR(IF(OR(ISBLANK(A16),ISBLANK(B16)),0,B16*VLOOKUP((IF(OR(A16="Residential urban land",A16="Commercial/industrial urban land",A16="Open urban land",A16="Greenspace",A16="Community food growing",A16="Woodland",A16="Shrub", A16="Water"), "|||"&amp;A16, (VLOOKUP(Nutrients_from_current_land_use!$B$5,Value_look_up_tables!$A$127:$B$127,2,FALSE)&amp;"|"&amp;A16&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7" spans="1:6" ht="23.25" customHeight="1" x14ac:dyDescent="0.25">
      <c r="A17" s="43"/>
      <c r="B17" s="44"/>
      <c r="C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7" s="36">
        <f>IFERROR(IF(OR(ISBLANK(A17),ISBLANK(B17)),0,B17*VLOOKUP((IF(OR(A17="Residential urban land",A17="Commercial/industrial urban land",A17="Open urban land",A17="Greenspace",A17="Community food growing",A17="Woodland",A17="Shrub", A17="Water"), "|||"&amp;A17, (VLOOKUP(Nutrients_from_current_land_use!$B$5,Value_look_up_tables!$A$127:$B$127,2,FALSE)&amp;"|"&amp;A17&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8" spans="1:6" ht="23.25" customHeight="1" x14ac:dyDescent="0.25">
      <c r="A18" s="43"/>
      <c r="B18" s="44"/>
      <c r="C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8" s="36">
        <f>IFERROR(IF(OR(ISBLANK(A18),ISBLANK(B18)),0,B18*VLOOKUP((IF(OR(A18="Residential urban land",A18="Commercial/industrial urban land",A18="Open urban land",A18="Greenspace",A18="Community food growing",A18="Woodland",A18="Shrub", A18="Water"), "|||"&amp;A18, (VLOOKUP(Nutrients_from_current_land_use!$B$5,Value_look_up_tables!$A$127:$B$127,2,FALSE)&amp;"|"&amp;A18&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19" spans="1:6" ht="23.25" customHeight="1" x14ac:dyDescent="0.25">
      <c r="A19" s="43"/>
      <c r="B19" s="44"/>
      <c r="C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19" s="36">
        <f>IFERROR(IF(OR(ISBLANK(A19),ISBLANK(B19)),0,B19*VLOOKUP((IF(OR(A19="Residential urban land",A19="Commercial/industrial urban land",A19="Open urban land",A19="Greenspace",A19="Community food growing",A19="Woodland",A19="Shrub", A19="Water"), "|||"&amp;A19, (VLOOKUP(Nutrients_from_current_land_use!$B$5,Value_look_up_tables!$A$127:$B$127,2,FALSE)&amp;"|"&amp;A19&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0" spans="1:6" ht="23.25" customHeight="1" x14ac:dyDescent="0.3">
      <c r="A20" s="43"/>
      <c r="B20" s="44"/>
      <c r="C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0" s="36">
        <f>IFERROR(IF(OR(ISBLANK(A20),ISBLANK(B20)),0,B20*VLOOKUP((IF(OR(A20="Residential urban land",A20="Commercial/industrial urban land",A20="Open urban land",A20="Greenspace",A20="Community food growing",A20="Woodland",A20="Shrub", A20="Water"), "|||"&amp;A20, (VLOOKUP(Nutrients_from_current_land_use!$B$5,Value_look_up_tables!$A$127:$B$127,2,FALSE)&amp;"|"&amp;A20&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c r="F20" s="40"/>
    </row>
    <row r="21" spans="1:6" ht="23.25" customHeight="1" x14ac:dyDescent="0.25">
      <c r="A21" s="43"/>
      <c r="B21" s="44"/>
      <c r="C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$97,2,FALSE)),0)</f>
        <v>0</v>
      </c>
      <c r="D21" s="36">
        <f>IFERROR(IF(OR(ISBLANK(A21),ISBLANK(B21)),0,B21*VLOOKUP((IF(OR(A21="Residential urban land",A21="Commercial/industrial urban land",A21="Open urban land",A21="Greenspace",A21="Community food growing",A21="Woodland",A21="Shrub", A21="Water"), "|||"&amp;A21, (VLOOKUP(Nutrients_from_current_land_use!$B$5,Value_look_up_tables!$A$127:$B$127,2,FALSE)&amp;"|"&amp;A21&amp;"|"&amp;VLOOKUP(Nutrients_from_current_land_use!$B$8,Value_look_up_tables!$A$140:$B$141,2,FALSE)&amp;"|"&amp;VLOOKUP(Nutrients_from_current_land_use!$B$7,Value_look_up_tables!$A$101:$C$123,3,FALSE)&amp;"|"&amp;VLOOKUP(Nutrients_from_current_land_use!$B$6,Value_look_up_tables!$A$131:$B$136,2,FALSE)))),Value_look_up_tables!$F$16:$H$97,3,FALSE)),0)</f>
        <v>0</v>
      </c>
    </row>
    <row r="22" spans="1:6" ht="23.25" customHeight="1" x14ac:dyDescent="0.25">
      <c r="A22" s="47" t="s">
        <v>95</v>
      </c>
      <c r="B22" s="45">
        <f>SUM(B5:B21)</f>
        <v>0</v>
      </c>
      <c r="C22" s="45">
        <f>SUM(C5:C21)</f>
        <v>0</v>
      </c>
      <c r="D22" s="45">
        <f>SUM(D5:D21)</f>
        <v>0</v>
      </c>
    </row>
  </sheetData>
  <sheetProtection algorithmName="SHA-512" hashValue="wVjfH5YinOHpL13C3zblV1P3PEhfmZY7AFhaJIWZ7gM42tyQxPGh3X0PxbGAqDZ3F6YffCseCKuhT9yEVVGs7A==" saltValue="0OSGPxSrbHRCKYxBG57Ys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Value_look_up_tables!$A$154:$A$161</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N30"/>
  <sheetViews>
    <sheetView topLeftCell="F2" zoomScaleNormal="100" workbookViewId="0">
      <selection activeCell="H9" sqref="H9"/>
    </sheetView>
  </sheetViews>
  <sheetFormatPr defaultColWidth="9.109375" defaultRowHeight="15" x14ac:dyDescent="0.3"/>
  <cols>
    <col min="1" max="1" width="142" style="2" customWidth="1"/>
    <col min="2" max="3" width="17.88671875" style="2" customWidth="1"/>
    <col min="4" max="5" width="22.5546875" style="2" customWidth="1"/>
    <col min="6" max="6" width="60.88671875" style="2" customWidth="1"/>
    <col min="7" max="8" width="20.109375" style="2" customWidth="1"/>
    <col min="9" max="10" width="17" style="2" customWidth="1"/>
    <col min="11" max="11" width="50.6640625" style="2" customWidth="1"/>
    <col min="12" max="474" width="8.5546875" style="2" customWidth="1"/>
    <col min="475" max="16383" width="9.109375" style="2" customWidth="1"/>
    <col min="16384" max="16384" width="9.109375" style="2"/>
  </cols>
  <sheetData>
    <row r="1" spans="1:14" ht="67.5" customHeight="1" x14ac:dyDescent="0.3">
      <c r="A1" s="11" t="s">
        <v>101</v>
      </c>
      <c r="B1" s="39"/>
      <c r="C1" s="10"/>
      <c r="D1" s="10"/>
      <c r="E1" s="10"/>
    </row>
    <row r="2" spans="1:14" ht="409.6" customHeight="1" x14ac:dyDescent="0.3">
      <c r="A2" s="97" t="s">
        <v>102</v>
      </c>
      <c r="B2" s="10"/>
      <c r="C2" s="10"/>
      <c r="D2" s="10"/>
      <c r="E2" s="10"/>
    </row>
    <row r="3" spans="1:14" ht="48" customHeight="1" x14ac:dyDescent="0.3">
      <c r="A3" s="48" t="s">
        <v>103</v>
      </c>
      <c r="B3" s="10"/>
      <c r="C3" s="10"/>
      <c r="D3" s="10"/>
      <c r="E3" s="10"/>
    </row>
    <row r="4" spans="1:14" ht="108.75" customHeight="1" x14ac:dyDescent="0.3">
      <c r="A4" s="14" t="s">
        <v>104</v>
      </c>
      <c r="B4" s="15" t="s">
        <v>105</v>
      </c>
      <c r="C4" s="15" t="s">
        <v>106</v>
      </c>
      <c r="D4" s="15" t="s">
        <v>107</v>
      </c>
      <c r="E4" s="15" t="s">
        <v>108</v>
      </c>
      <c r="F4" s="15" t="s">
        <v>109</v>
      </c>
      <c r="G4" s="15" t="s">
        <v>110</v>
      </c>
      <c r="H4" s="15" t="s">
        <v>111</v>
      </c>
      <c r="I4" s="15" t="s">
        <v>112</v>
      </c>
      <c r="J4" s="15" t="s">
        <v>113</v>
      </c>
      <c r="K4" s="25" t="s">
        <v>94</v>
      </c>
    </row>
    <row r="5" spans="1:14" ht="28.5" customHeight="1" x14ac:dyDescent="0.3">
      <c r="A5" s="18" t="s">
        <v>184</v>
      </c>
      <c r="B5" s="35">
        <v>6.58</v>
      </c>
      <c r="C5" s="35">
        <v>100</v>
      </c>
      <c r="D5" s="36">
        <f>IFERROR(IF(ISBLANK(A5),0,IF(ISBLANK(B5),0,VLOOKUP(A5,Nutrients_from_future_land_use!$A$5:$D$21,3,FALSE)*(B5/VLOOKUP(A5,Nutrients_from_future_land_use!$A$5:$D$21,2,FALSE)))),0)</f>
        <v>0</v>
      </c>
      <c r="E5" s="36">
        <f>IFERROR(IF(ISBLANK(A5),0,IF(ISBLANK(B5),0,VLOOKUP(A5,Nutrients_from_future_land_use!$A$5:$D$21,4,FALSE)*(B5/VLOOKUP(A5,Nutrients_from_future_land_use!$A$5:$D$21,2,FALSE)))),0)</f>
        <v>0</v>
      </c>
      <c r="F5" s="35" t="s">
        <v>252</v>
      </c>
      <c r="G5" s="35">
        <v>0</v>
      </c>
      <c r="H5" s="35">
        <v>0</v>
      </c>
      <c r="I5" s="36">
        <f>IFERROR(IF(OR(ISBLANK($A5),ISBLANK($B5),ISBLANK($G5)),0,$C5/100*D5*G5/100),0)</f>
        <v>0</v>
      </c>
      <c r="J5" s="36">
        <f>IFERROR(IF(OR(ISBLANK($A5),ISBLANK($B5),ISBLANK($H5)),0,$C5/100*E5*H5/100),0)</f>
        <v>0</v>
      </c>
      <c r="K5" s="49" t="str">
        <f>IF(SUMIFS($B$5:$B$29,$A$5:$A$29,A5)&gt;SUMIFS(Nutrients_from_future_land_use!$B$5:$B$21,Nutrients_from_future_land_use!$A$5:$A$21,A5),"Area of new land covers within SuDS catchment area exceeds the area of new land covers proposed","Not applicable")</f>
        <v>Area of new land covers within SuDS catchment area exceeds the area of new land covers proposed</v>
      </c>
    </row>
    <row r="6" spans="1:14" ht="28.5" customHeight="1" x14ac:dyDescent="0.3">
      <c r="A6" s="18"/>
      <c r="B6" s="35"/>
      <c r="C6" s="35"/>
      <c r="D6" s="36">
        <f>IFERROR(IF(ISBLANK(A6),0,IF(ISBLANK(B6),0,VLOOKUP(A6,Nutrients_from_future_land_use!$A$5:$D$21,3,FALSE)*(B6/VLOOKUP(A6,Nutrients_from_future_land_use!$A$5:$D$21,2,FALSE)))),0)</f>
        <v>0</v>
      </c>
      <c r="E6" s="36">
        <f>IFERROR(IF(ISBLANK(A6),0,IF(ISBLANK(B6),0,VLOOKUP(A6,Nutrients_from_future_land_use!$A$5:$D$21,4,FALSE)*(B6/VLOOKUP(A6,Nutrients_from_future_land_use!$A$5:$D$21,2,FALSE)))),0)</f>
        <v>0</v>
      </c>
      <c r="F6" s="35"/>
      <c r="G6" s="35"/>
      <c r="H6" s="35"/>
      <c r="I6" s="36">
        <f t="shared" ref="I6:I29" si="0">IFERROR(IF(OR(ISBLANK($A6),ISBLANK($B6),ISBLANK($G6)),0,$C6/100*D6*G6/100),0)</f>
        <v>0</v>
      </c>
      <c r="J6" s="36">
        <f t="shared" ref="J6:J29" si="1">IFERROR(IF(OR(ISBLANK($A6),ISBLANK($B6),ISBLANK($H6)),0,$C6/100*E6*H6/100),0)</f>
        <v>0</v>
      </c>
      <c r="K6" s="49" t="str">
        <f>IF(SUMIFS($B$5:$B$29,$A$5:$A$29,A6)&gt;SUMIFS(Nutrients_from_future_land_use!$B$5:$B$21,Nutrients_from_future_land_use!$A$5:$A$21,A6),"Area of new land covers within SuDS catchment area exceeds the area of new land covers proposed","Not applicable")</f>
        <v>Not applicable</v>
      </c>
    </row>
    <row r="7" spans="1:14" ht="28.5" customHeight="1" x14ac:dyDescent="0.3">
      <c r="A7" s="18"/>
      <c r="B7" s="35"/>
      <c r="C7" s="35"/>
      <c r="D7" s="36">
        <f>IFERROR(IF(ISBLANK(A7),0,IF(ISBLANK(B7),0,VLOOKUP(A7,Nutrients_from_future_land_use!$A$5:$D$21,3,FALSE)*(B7/VLOOKUP(A7,Nutrients_from_future_land_use!$A$5:$D$21,2,FALSE)))),0)</f>
        <v>0</v>
      </c>
      <c r="E7" s="36">
        <f>IFERROR(IF(ISBLANK(A7),0,IF(ISBLANK(B7),0,VLOOKUP(A7,Nutrients_from_future_land_use!$A$5:$D$21,4,FALSE)*(B7/VLOOKUP(A7,Nutrients_from_future_land_use!$A$5:$D$21,2,FALSE)))),0)</f>
        <v>0</v>
      </c>
      <c r="F7" s="35"/>
      <c r="G7" s="35"/>
      <c r="H7" s="35"/>
      <c r="I7" s="36">
        <f t="shared" si="0"/>
        <v>0</v>
      </c>
      <c r="J7" s="36">
        <f t="shared" si="1"/>
        <v>0</v>
      </c>
      <c r="K7" s="49" t="str">
        <f>IF(SUMIFS($B$5:$B$29,$A$5:$A$29,A7)&gt;SUMIFS(Nutrients_from_future_land_use!$B$5:$B$21,Nutrients_from_future_land_use!$A$5:$A$21,A7),"Area of new land covers within SuDS catchment area exceeds the area of new land covers proposed","Not applicable")</f>
        <v>Not applicable</v>
      </c>
    </row>
    <row r="8" spans="1:14" ht="28.5" customHeight="1" x14ac:dyDescent="0.3">
      <c r="A8" s="18"/>
      <c r="B8" s="35"/>
      <c r="C8" s="35"/>
      <c r="D8" s="36">
        <f>IFERROR(IF(ISBLANK(A8),0,IF(ISBLANK(B8),0,VLOOKUP(A8,Nutrients_from_future_land_use!$A$5:$D$21,3,FALSE)*(B8/VLOOKUP(A8,Nutrients_from_future_land_use!$A$5:$D$21,2,FALSE)))),0)</f>
        <v>0</v>
      </c>
      <c r="E8" s="36">
        <f>IFERROR(IF(ISBLANK(A8),0,IF(ISBLANK(B8),0,VLOOKUP(A8,Nutrients_from_future_land_use!$A$5:$D$21,4,FALSE)*(B8/VLOOKUP(A8,Nutrients_from_future_land_use!$A$5:$D$21,2,FALSE)))),0)</f>
        <v>0</v>
      </c>
      <c r="F8" s="35"/>
      <c r="G8" s="35"/>
      <c r="H8" s="35"/>
      <c r="I8" s="36">
        <f t="shared" si="0"/>
        <v>0</v>
      </c>
      <c r="J8" s="36">
        <f t="shared" si="1"/>
        <v>0</v>
      </c>
      <c r="K8" s="49" t="str">
        <f>IF(SUMIFS($B$5:$B$29,$A$5:$A$29,A8)&gt;SUMIFS(Nutrients_from_future_land_use!$B$5:$B$21,Nutrients_from_future_land_use!$A$5:$A$21,A8),"Area of new land covers within SuDS catchment area exceeds the area of new land covers proposed","Not applicable")</f>
        <v>Not applicable</v>
      </c>
    </row>
    <row r="9" spans="1:14" ht="28.5" customHeight="1" x14ac:dyDescent="0.3">
      <c r="A9" s="18"/>
      <c r="B9" s="35"/>
      <c r="C9" s="35"/>
      <c r="D9" s="36">
        <f>IFERROR(IF(ISBLANK(A9),0,IF(ISBLANK(B9),0,VLOOKUP(A9,Nutrients_from_future_land_use!$A$5:$D$21,3,FALSE)*(B9/VLOOKUP(A9,Nutrients_from_future_land_use!$A$5:$D$21,2,FALSE)))),0)</f>
        <v>0</v>
      </c>
      <c r="E9" s="36">
        <f>IFERROR(IF(ISBLANK(A9),0,IF(ISBLANK(B9),0,VLOOKUP(A9,Nutrients_from_future_land_use!$A$5:$D$21,4,FALSE)*(B9/VLOOKUP(A9,Nutrients_from_future_land_use!$A$5:$D$21,2,FALSE)))),0)</f>
        <v>0</v>
      </c>
      <c r="F9" s="35"/>
      <c r="G9" s="35"/>
      <c r="H9" s="35"/>
      <c r="I9" s="36">
        <f t="shared" si="0"/>
        <v>0</v>
      </c>
      <c r="J9" s="36">
        <f t="shared" si="1"/>
        <v>0</v>
      </c>
      <c r="K9" s="49" t="str">
        <f>IF(SUMIFS($B$5:$B$29,$A$5:$A$29,A9)&gt;SUMIFS(Nutrients_from_future_land_use!$B$5:$B$21,Nutrients_from_future_land_use!$A$5:$A$21,A9),"Area of new land covers within SuDS catchment area exceeds the area of new land covers proposed","Not applicable")</f>
        <v>Not applicable</v>
      </c>
      <c r="N9" s="50"/>
    </row>
    <row r="10" spans="1:14" ht="28.5" customHeight="1" x14ac:dyDescent="0.3">
      <c r="A10" s="18"/>
      <c r="B10" s="35"/>
      <c r="C10" s="35"/>
      <c r="D10" s="36">
        <f>IFERROR(IF(ISBLANK(A10),0,IF(ISBLANK(B10),0,VLOOKUP(A10,Nutrients_from_future_land_use!$A$5:$D$21,3,FALSE)*(B10/VLOOKUP(A10,Nutrients_from_future_land_use!$A$5:$D$21,2,FALSE)))),0)</f>
        <v>0</v>
      </c>
      <c r="E10" s="36">
        <f>IFERROR(IF(ISBLANK(A10),0,IF(ISBLANK(B10),0,VLOOKUP(A10,Nutrients_from_future_land_use!$A$5:$D$21,4,FALSE)*(B10/VLOOKUP(A10,Nutrients_from_future_land_use!$A$5:$D$21,2,FALSE)))),0)</f>
        <v>0</v>
      </c>
      <c r="F10" s="35"/>
      <c r="G10" s="35"/>
      <c r="H10" s="35"/>
      <c r="I10" s="36">
        <f t="shared" si="0"/>
        <v>0</v>
      </c>
      <c r="J10" s="36">
        <f t="shared" si="1"/>
        <v>0</v>
      </c>
      <c r="K10" s="49" t="str">
        <f>IF(SUMIFS($B$5:$B$29,$A$5:$A$29,A10)&gt;SUMIFS(Nutrients_from_future_land_use!$B$5:$B$21,Nutrients_from_future_land_use!$A$5:$A$21,A10),"Area of new land covers within SuDS catchment area exceeds the area of new land covers proposed","Not applicable")</f>
        <v>Not applicable</v>
      </c>
      <c r="N10" s="50"/>
    </row>
    <row r="11" spans="1:14" ht="28.5" customHeight="1" x14ac:dyDescent="0.3">
      <c r="A11" s="18"/>
      <c r="B11" s="35"/>
      <c r="C11" s="35"/>
      <c r="D11" s="36">
        <f>IFERROR(IF(ISBLANK(A11),0,IF(ISBLANK(B11),0,VLOOKUP(A11,Nutrients_from_future_land_use!$A$5:$D$21,3,FALSE)*(B11/VLOOKUP(A11,Nutrients_from_future_land_use!$A$5:$D$21,2,FALSE)))),0)</f>
        <v>0</v>
      </c>
      <c r="E11" s="36">
        <f>IFERROR(IF(ISBLANK(A11),0,IF(ISBLANK(B11),0,VLOOKUP(A11,Nutrients_from_future_land_use!$A$5:$D$21,4,FALSE)*(B11/VLOOKUP(A11,Nutrients_from_future_land_use!$A$5:$D$21,2,FALSE)))),0)</f>
        <v>0</v>
      </c>
      <c r="F11" s="35"/>
      <c r="G11" s="35"/>
      <c r="H11" s="35"/>
      <c r="I11" s="36">
        <f t="shared" si="0"/>
        <v>0</v>
      </c>
      <c r="J11" s="36">
        <f t="shared" si="1"/>
        <v>0</v>
      </c>
      <c r="K11" s="49" t="str">
        <f>IF(SUMIFS($B$5:$B$29,$A$5:$A$29,A11)&gt;SUMIFS(Nutrients_from_future_land_use!$B$5:$B$21,Nutrients_from_future_land_use!$A$5:$A$21,A11),"Area of new land covers within SuDS catchment area exceeds the area of new land covers proposed","Not applicable")</f>
        <v>Not applicable</v>
      </c>
      <c r="N11" s="50"/>
    </row>
    <row r="12" spans="1:14" ht="28.5" customHeight="1" x14ac:dyDescent="0.3">
      <c r="A12" s="18"/>
      <c r="B12" s="35"/>
      <c r="C12" s="35"/>
      <c r="D12" s="36">
        <f>IFERROR(IF(ISBLANK(A12),0,IF(ISBLANK(B12),0,VLOOKUP(A12,Nutrients_from_future_land_use!$A$5:$D$21,3,FALSE)*(B12/VLOOKUP(A12,Nutrients_from_future_land_use!$A$5:$D$21,2,FALSE)))),0)</f>
        <v>0</v>
      </c>
      <c r="E12" s="36">
        <f>IFERROR(IF(ISBLANK(A12),0,IF(ISBLANK(B12),0,VLOOKUP(A12,Nutrients_from_future_land_use!$A$5:$D$21,4,FALSE)*(B12/VLOOKUP(A12,Nutrients_from_future_land_use!$A$5:$D$21,2,FALSE)))),0)</f>
        <v>0</v>
      </c>
      <c r="F12" s="35"/>
      <c r="G12" s="35"/>
      <c r="H12" s="35"/>
      <c r="I12" s="36">
        <f t="shared" si="0"/>
        <v>0</v>
      </c>
      <c r="J12" s="36">
        <f t="shared" si="1"/>
        <v>0</v>
      </c>
      <c r="K12" s="49" t="str">
        <f>IF(SUMIFS($B$5:$B$29,$A$5:$A$29,A12)&gt;SUMIFS(Nutrients_from_future_land_use!$B$5:$B$21,Nutrients_from_future_land_use!$A$5:$A$21,A12),"Area of new land covers within SuDS catchment area exceeds the area of new land covers proposed","Not applicable")</f>
        <v>Not applicable</v>
      </c>
      <c r="N12" s="50"/>
    </row>
    <row r="13" spans="1:14" ht="28.5" customHeight="1" x14ac:dyDescent="0.3">
      <c r="A13" s="18"/>
      <c r="B13" s="35"/>
      <c r="C13" s="35"/>
      <c r="D13" s="36">
        <f>IFERROR(IF(ISBLANK(A13),0,IF(ISBLANK(B13),0,VLOOKUP(A13,Nutrients_from_future_land_use!$A$5:$D$21,3,FALSE)*(B13/VLOOKUP(A13,Nutrients_from_future_land_use!$A$5:$D$21,2,FALSE)))),0)</f>
        <v>0</v>
      </c>
      <c r="E13" s="36">
        <f>IFERROR(IF(ISBLANK(A13),0,IF(ISBLANK(B13),0,VLOOKUP(A13,Nutrients_from_future_land_use!$A$5:$D$21,4,FALSE)*(B13/VLOOKUP(A13,Nutrients_from_future_land_use!$A$5:$D$21,2,FALSE)))),0)</f>
        <v>0</v>
      </c>
      <c r="F13" s="35"/>
      <c r="G13" s="35"/>
      <c r="H13" s="35"/>
      <c r="I13" s="36">
        <f t="shared" si="0"/>
        <v>0</v>
      </c>
      <c r="J13" s="36">
        <f t="shared" si="1"/>
        <v>0</v>
      </c>
      <c r="K13" s="49" t="str">
        <f>IF(SUMIFS($B$5:$B$29,$A$5:$A$29,A13)&gt;SUMIFS(Nutrients_from_future_land_use!$B$5:$B$21,Nutrients_from_future_land_use!$A$5:$A$21,A13),"Area of new land covers within SuDS catchment area exceeds the area of new land covers proposed","Not applicable")</f>
        <v>Not applicable</v>
      </c>
      <c r="N13" s="50"/>
    </row>
    <row r="14" spans="1:14" ht="28.5" customHeight="1" x14ac:dyDescent="0.3">
      <c r="A14" s="18"/>
      <c r="B14" s="35"/>
      <c r="C14" s="35"/>
      <c r="D14" s="36">
        <f>IFERROR(IF(ISBLANK(A14),0,IF(ISBLANK(B14),0,VLOOKUP(A14,Nutrients_from_future_land_use!$A$5:$D$21,3,FALSE)*(B14/VLOOKUP(A14,Nutrients_from_future_land_use!$A$5:$D$21,2,FALSE)))),0)</f>
        <v>0</v>
      </c>
      <c r="E14" s="36">
        <f>IFERROR(IF(ISBLANK(A14),0,IF(ISBLANK(B14),0,VLOOKUP(A14,Nutrients_from_future_land_use!$A$5:$D$21,4,FALSE)*(B14/VLOOKUP(A14,Nutrients_from_future_land_use!$A$5:$D$21,2,FALSE)))),0)</f>
        <v>0</v>
      </c>
      <c r="F14" s="35"/>
      <c r="G14" s="35"/>
      <c r="H14" s="35"/>
      <c r="I14" s="36">
        <f t="shared" si="0"/>
        <v>0</v>
      </c>
      <c r="J14" s="36">
        <f t="shared" si="1"/>
        <v>0</v>
      </c>
      <c r="K14" s="49" t="str">
        <f>IF(SUMIFS($B$5:$B$29,$A$5:$A$29,A14)&gt;SUMIFS(Nutrients_from_future_land_use!$B$5:$B$21,Nutrients_from_future_land_use!$A$5:$A$21,A14),"Area of new land covers within SuDS catchment area exceeds the area of new land covers proposed","Not applicable")</f>
        <v>Not applicable</v>
      </c>
      <c r="N14" s="50"/>
    </row>
    <row r="15" spans="1:14" ht="28.5" customHeight="1" x14ac:dyDescent="0.3">
      <c r="A15" s="18"/>
      <c r="B15" s="35"/>
      <c r="C15" s="35"/>
      <c r="D15" s="36">
        <f>IFERROR(IF(ISBLANK(A15),0,IF(ISBLANK(B15),0,VLOOKUP(A15,Nutrients_from_future_land_use!$A$5:$D$21,3,FALSE)*(B15/VLOOKUP(A15,Nutrients_from_future_land_use!$A$5:$D$21,2,FALSE)))),0)</f>
        <v>0</v>
      </c>
      <c r="E15" s="36">
        <f>IFERROR(IF(ISBLANK(A15),0,IF(ISBLANK(B15),0,VLOOKUP(A15,Nutrients_from_future_land_use!$A$5:$D$21,4,FALSE)*(B15/VLOOKUP(A15,Nutrients_from_future_land_use!$A$5:$D$21,2,FALSE)))),0)</f>
        <v>0</v>
      </c>
      <c r="F15" s="35"/>
      <c r="G15" s="35"/>
      <c r="H15" s="35"/>
      <c r="I15" s="36">
        <f t="shared" si="0"/>
        <v>0</v>
      </c>
      <c r="J15" s="36">
        <f t="shared" si="1"/>
        <v>0</v>
      </c>
      <c r="K15" s="49" t="str">
        <f>IF(SUMIFS($B$5:$B$29,$A$5:$A$29,A15)&gt;SUMIFS(Nutrients_from_future_land_use!$B$5:$B$21,Nutrients_from_future_land_use!$A$5:$A$21,A15),"Area of new land covers within SuDS catchment area exceeds the area of new land covers proposed","Not applicable")</f>
        <v>Not applicable</v>
      </c>
    </row>
    <row r="16" spans="1:14" ht="28.5" customHeight="1" x14ac:dyDescent="0.3">
      <c r="A16" s="18"/>
      <c r="B16" s="35"/>
      <c r="C16" s="35"/>
      <c r="D16" s="36">
        <f>IFERROR(IF(ISBLANK(A16),0,IF(ISBLANK(B16),0,VLOOKUP(A16,Nutrients_from_future_land_use!$A$5:$D$21,3,FALSE)*(B16/VLOOKUP(A16,Nutrients_from_future_land_use!$A$5:$D$21,2,FALSE)))),0)</f>
        <v>0</v>
      </c>
      <c r="E16" s="36">
        <f>IFERROR(IF(ISBLANK(A16),0,IF(ISBLANK(B16),0,VLOOKUP(A16,Nutrients_from_future_land_use!$A$5:$D$21,4,FALSE)*(B16/VLOOKUP(A16,Nutrients_from_future_land_use!$A$5:$D$21,2,FALSE)))),0)</f>
        <v>0</v>
      </c>
      <c r="F16" s="35"/>
      <c r="G16" s="35"/>
      <c r="H16" s="35"/>
      <c r="I16" s="36">
        <f t="shared" si="0"/>
        <v>0</v>
      </c>
      <c r="J16" s="36">
        <f t="shared" si="1"/>
        <v>0</v>
      </c>
      <c r="K16" s="49" t="str">
        <f>IF(SUMIFS($B$5:$B$29,$A$5:$A$29,A16)&gt;SUMIFS(Nutrients_from_future_land_use!$B$5:$B$21,Nutrients_from_future_land_use!$A$5:$A$21,A16),"Area of new land covers within SuDS catchment area exceeds the area of new land covers proposed","Not applicable")</f>
        <v>Not applicable</v>
      </c>
    </row>
    <row r="17" spans="1:11" ht="28.5" customHeight="1" x14ac:dyDescent="0.3">
      <c r="A17" s="18"/>
      <c r="B17" s="35"/>
      <c r="C17" s="35"/>
      <c r="D17" s="36">
        <f>IFERROR(IF(ISBLANK(A17),0,IF(ISBLANK(B17),0,VLOOKUP(A17,Nutrients_from_future_land_use!$A$5:$D$21,3,FALSE)*(B17/VLOOKUP(A17,Nutrients_from_future_land_use!$A$5:$D$21,2,FALSE)))),0)</f>
        <v>0</v>
      </c>
      <c r="E17" s="36">
        <f>IFERROR(IF(ISBLANK(A17),0,IF(ISBLANK(B17),0,VLOOKUP(A17,Nutrients_from_future_land_use!$A$5:$D$21,4,FALSE)*(B17/VLOOKUP(A17,Nutrients_from_future_land_use!$A$5:$D$21,2,FALSE)))),0)</f>
        <v>0</v>
      </c>
      <c r="F17" s="35"/>
      <c r="G17" s="35"/>
      <c r="H17" s="35"/>
      <c r="I17" s="36">
        <f t="shared" si="0"/>
        <v>0</v>
      </c>
      <c r="J17" s="36">
        <f t="shared" si="1"/>
        <v>0</v>
      </c>
      <c r="K17" s="49" t="str">
        <f>IF(SUMIFS($B$5:$B$29,$A$5:$A$29,A17)&gt;SUMIFS(Nutrients_from_future_land_use!$B$5:$B$21,Nutrients_from_future_land_use!$A$5:$A$21,A17),"Area of new land covers within SuDS catchment area exceeds the area of new land covers proposed","Not applicable")</f>
        <v>Not applicable</v>
      </c>
    </row>
    <row r="18" spans="1:11" ht="28.5" customHeight="1" x14ac:dyDescent="0.3">
      <c r="A18" s="18"/>
      <c r="B18" s="35"/>
      <c r="C18" s="35"/>
      <c r="D18" s="36">
        <f>IFERROR(IF(ISBLANK(A18),0,IF(ISBLANK(B18),0,VLOOKUP(A18,Nutrients_from_future_land_use!$A$5:$D$21,3,FALSE)*(B18/VLOOKUP(A18,Nutrients_from_future_land_use!$A$5:$D$21,2,FALSE)))),0)</f>
        <v>0</v>
      </c>
      <c r="E18" s="36">
        <f>IFERROR(IF(ISBLANK(A18),0,IF(ISBLANK(B18),0,VLOOKUP(A18,Nutrients_from_future_land_use!$A$5:$D$21,4,FALSE)*(B18/VLOOKUP(A18,Nutrients_from_future_land_use!$A$5:$D$21,2,FALSE)))),0)</f>
        <v>0</v>
      </c>
      <c r="F18" s="35"/>
      <c r="G18" s="35"/>
      <c r="H18" s="35"/>
      <c r="I18" s="36">
        <f t="shared" si="0"/>
        <v>0</v>
      </c>
      <c r="J18" s="36">
        <f t="shared" si="1"/>
        <v>0</v>
      </c>
      <c r="K18" s="49" t="str">
        <f>IF(SUMIFS($B$5:$B$29,$A$5:$A$29,A18)&gt;SUMIFS(Nutrients_from_future_land_use!$B$5:$B$21,Nutrients_from_future_land_use!$A$5:$A$21,A18),"Area of new land covers within SuDS catchment area exceeds the area of new land covers proposed","Not applicable")</f>
        <v>Not applicable</v>
      </c>
    </row>
    <row r="19" spans="1:11" ht="28.5" customHeight="1" x14ac:dyDescent="0.3">
      <c r="A19" s="18"/>
      <c r="B19" s="35"/>
      <c r="C19" s="35"/>
      <c r="D19" s="36">
        <f>IFERROR(IF(ISBLANK(A19),0,IF(ISBLANK(B19),0,VLOOKUP(A19,Nutrients_from_future_land_use!$A$5:$D$21,3,FALSE)*(B19/VLOOKUP(A19,Nutrients_from_future_land_use!$A$5:$D$21,2,FALSE)))),0)</f>
        <v>0</v>
      </c>
      <c r="E19" s="36">
        <f>IFERROR(IF(ISBLANK(A19),0,IF(ISBLANK(B19),0,VLOOKUP(A19,Nutrients_from_future_land_use!$A$5:$D$21,4,FALSE)*(B19/VLOOKUP(A19,Nutrients_from_future_land_use!$A$5:$D$21,2,FALSE)))),0)</f>
        <v>0</v>
      </c>
      <c r="F19" s="35"/>
      <c r="G19" s="35"/>
      <c r="H19" s="35"/>
      <c r="I19" s="36">
        <f t="shared" si="0"/>
        <v>0</v>
      </c>
      <c r="J19" s="36">
        <f t="shared" si="1"/>
        <v>0</v>
      </c>
      <c r="K19" s="49" t="str">
        <f>IF(SUMIFS($B$5:$B$29,$A$5:$A$29,A19)&gt;SUMIFS(Nutrients_from_future_land_use!$B$5:$B$21,Nutrients_from_future_land_use!$A$5:$A$21,A19),"Area of new land covers within SuDS catchment area exceeds the area of new land covers proposed","Not applicable")</f>
        <v>Not applicable</v>
      </c>
    </row>
    <row r="20" spans="1:11" ht="28.5" customHeight="1" x14ac:dyDescent="0.3">
      <c r="A20" s="18"/>
      <c r="B20" s="35"/>
      <c r="C20" s="35"/>
      <c r="D20" s="36">
        <f>IFERROR(IF(ISBLANK(A20),0,IF(ISBLANK(B20),0,VLOOKUP(A20,Nutrients_from_future_land_use!$A$5:$D$21,3,FALSE)*(B20/VLOOKUP(A20,Nutrients_from_future_land_use!$A$5:$D$21,2,FALSE)))),0)</f>
        <v>0</v>
      </c>
      <c r="E20" s="36">
        <f>IFERROR(IF(ISBLANK(A20),0,IF(ISBLANK(B20),0,VLOOKUP(A20,Nutrients_from_future_land_use!$A$5:$D$21,4,FALSE)*(B20/VLOOKUP(A20,Nutrients_from_future_land_use!$A$5:$D$21,2,FALSE)))),0)</f>
        <v>0</v>
      </c>
      <c r="F20" s="35"/>
      <c r="G20" s="35"/>
      <c r="H20" s="35"/>
      <c r="I20" s="36">
        <f t="shared" si="0"/>
        <v>0</v>
      </c>
      <c r="J20" s="36">
        <f t="shared" si="1"/>
        <v>0</v>
      </c>
      <c r="K20" s="49" t="str">
        <f>IF(SUMIFS($B$5:$B$29,$A$5:$A$29,A20)&gt;SUMIFS(Nutrients_from_future_land_use!$B$5:$B$21,Nutrients_from_future_land_use!$A$5:$A$21,A20),"Area of new land covers within SuDS catchment area exceeds the area of new land covers proposed","Not applicable")</f>
        <v>Not applicable</v>
      </c>
    </row>
    <row r="21" spans="1:11" ht="28.5" customHeight="1" x14ac:dyDescent="0.3">
      <c r="A21" s="18"/>
      <c r="B21" s="35"/>
      <c r="C21" s="35"/>
      <c r="D21" s="36">
        <f>IFERROR(IF(ISBLANK(A21),0,IF(ISBLANK(B21),0,VLOOKUP(A21,Nutrients_from_future_land_use!$A$5:$D$21,3,FALSE)*(B21/VLOOKUP(A21,Nutrients_from_future_land_use!$A$5:$D$21,2,FALSE)))),0)</f>
        <v>0</v>
      </c>
      <c r="E21" s="36">
        <f>IFERROR(IF(ISBLANK(A21),0,IF(ISBLANK(B21),0,VLOOKUP(A21,Nutrients_from_future_land_use!$A$5:$D$21,4,FALSE)*(B21/VLOOKUP(A21,Nutrients_from_future_land_use!$A$5:$D$21,2,FALSE)))),0)</f>
        <v>0</v>
      </c>
      <c r="F21" s="35"/>
      <c r="G21" s="35"/>
      <c r="H21" s="35"/>
      <c r="I21" s="36">
        <f t="shared" si="0"/>
        <v>0</v>
      </c>
      <c r="J21" s="36">
        <f t="shared" si="1"/>
        <v>0</v>
      </c>
      <c r="K21" s="49" t="str">
        <f>IF(SUMIFS($B$5:$B$29,$A$5:$A$29,A21)&gt;SUMIFS(Nutrients_from_future_land_use!$B$5:$B$21,Nutrients_from_future_land_use!$A$5:$A$21,A21),"Area of new land covers within SuDS catchment area exceeds the area of new land covers proposed","Not applicable")</f>
        <v>Not applicable</v>
      </c>
    </row>
    <row r="22" spans="1:11" ht="28.5" customHeight="1" x14ac:dyDescent="0.3">
      <c r="A22" s="18"/>
      <c r="B22" s="35"/>
      <c r="C22" s="35"/>
      <c r="D22" s="36">
        <f>IFERROR(IF(ISBLANK(A22),0,IF(ISBLANK(B22),0,VLOOKUP(A22,Nutrients_from_future_land_use!$A$5:$D$21,3,FALSE)*(B22/VLOOKUP(A22,Nutrients_from_future_land_use!$A$5:$D$21,2,FALSE)))),0)</f>
        <v>0</v>
      </c>
      <c r="E22" s="36">
        <f>IFERROR(IF(ISBLANK(A22),0,IF(ISBLANK(B22),0,VLOOKUP(A22,Nutrients_from_future_land_use!$A$5:$D$21,4,FALSE)*(B22/VLOOKUP(A22,Nutrients_from_future_land_use!$A$5:$D$21,2,FALSE)))),0)</f>
        <v>0</v>
      </c>
      <c r="F22" s="35"/>
      <c r="G22" s="35"/>
      <c r="H22" s="35"/>
      <c r="I22" s="36">
        <f t="shared" si="0"/>
        <v>0</v>
      </c>
      <c r="J22" s="36">
        <f t="shared" si="1"/>
        <v>0</v>
      </c>
      <c r="K22" s="49" t="str">
        <f>IF(SUMIFS($B$5:$B$29,$A$5:$A$29,A22)&gt;SUMIFS(Nutrients_from_future_land_use!$B$5:$B$21,Nutrients_from_future_land_use!$A$5:$A$21,A22),"Area of new land covers within SuDS catchment area exceeds the area of new land covers proposed","Not applicable")</f>
        <v>Not applicable</v>
      </c>
    </row>
    <row r="23" spans="1:11" ht="28.5" customHeight="1" x14ac:dyDescent="0.3">
      <c r="A23" s="18"/>
      <c r="B23" s="35"/>
      <c r="C23" s="35"/>
      <c r="D23" s="36">
        <f>IFERROR(IF(ISBLANK(A23),0,IF(ISBLANK(B23),0,VLOOKUP(A23,Nutrients_from_future_land_use!$A$5:$D$21,3,FALSE)*(B23/VLOOKUP(A23,Nutrients_from_future_land_use!$A$5:$D$21,2,FALSE)))),0)</f>
        <v>0</v>
      </c>
      <c r="E23" s="36">
        <f>IFERROR(IF(ISBLANK(A23),0,IF(ISBLANK(B23),0,VLOOKUP(A23,Nutrients_from_future_land_use!$A$5:$D$21,4,FALSE)*(B23/VLOOKUP(A23,Nutrients_from_future_land_use!$A$5:$D$21,2,FALSE)))),0)</f>
        <v>0</v>
      </c>
      <c r="F23" s="35"/>
      <c r="G23" s="35"/>
      <c r="H23" s="35"/>
      <c r="I23" s="36">
        <f t="shared" si="0"/>
        <v>0</v>
      </c>
      <c r="J23" s="36">
        <f t="shared" si="1"/>
        <v>0</v>
      </c>
      <c r="K23" s="49" t="str">
        <f>IF(SUMIFS($B$5:$B$29,$A$5:$A$29,A23)&gt;SUMIFS(Nutrients_from_future_land_use!$B$5:$B$21,Nutrients_from_future_land_use!$A$5:$A$21,A23),"Area of new land covers within SuDS catchment area exceeds the area of new land covers proposed","Not applicable")</f>
        <v>Not applicable</v>
      </c>
    </row>
    <row r="24" spans="1:11" ht="28.5" customHeight="1" x14ac:dyDescent="0.3">
      <c r="A24" s="18"/>
      <c r="B24" s="35"/>
      <c r="C24" s="35"/>
      <c r="D24" s="36">
        <f>IFERROR(IF(ISBLANK(A24),0,IF(ISBLANK(B24),0,VLOOKUP(A24,Nutrients_from_future_land_use!$A$5:$D$21,3,FALSE)*(B24/VLOOKUP(A24,Nutrients_from_future_land_use!$A$5:$D$21,2,FALSE)))),0)</f>
        <v>0</v>
      </c>
      <c r="E24" s="36">
        <f>IFERROR(IF(ISBLANK(A24),0,IF(ISBLANK(B24),0,VLOOKUP(A24,Nutrients_from_future_land_use!$A$5:$D$21,4,FALSE)*(B24/VLOOKUP(A24,Nutrients_from_future_land_use!$A$5:$D$21,2,FALSE)))),0)</f>
        <v>0</v>
      </c>
      <c r="F24" s="35"/>
      <c r="G24" s="35"/>
      <c r="H24" s="35"/>
      <c r="I24" s="36">
        <f t="shared" si="0"/>
        <v>0</v>
      </c>
      <c r="J24" s="36">
        <f t="shared" si="1"/>
        <v>0</v>
      </c>
      <c r="K24" s="49" t="str">
        <f>IF(SUMIFS($B$5:$B$29,$A$5:$A$29,A24)&gt;SUMIFS(Nutrients_from_future_land_use!$B$5:$B$21,Nutrients_from_future_land_use!$A$5:$A$21,A24),"Area of new land covers within SuDS catchment area exceeds the area of new land covers proposed","Not applicable")</f>
        <v>Not applicable</v>
      </c>
    </row>
    <row r="25" spans="1:11" ht="28.5" customHeight="1" x14ac:dyDescent="0.3">
      <c r="A25" s="18"/>
      <c r="B25" s="35"/>
      <c r="C25" s="35"/>
      <c r="D25" s="36">
        <f>IFERROR(IF(ISBLANK(A25),0,IF(ISBLANK(B25),0,VLOOKUP(A25,Nutrients_from_future_land_use!$A$5:$D$21,3,FALSE)*(B25/VLOOKUP(A25,Nutrients_from_future_land_use!$A$5:$D$21,2,FALSE)))),0)</f>
        <v>0</v>
      </c>
      <c r="E25" s="36">
        <f>IFERROR(IF(ISBLANK(A25),0,IF(ISBLANK(B25),0,VLOOKUP(A25,Nutrients_from_future_land_use!$A$5:$D$21,4,FALSE)*(B25/VLOOKUP(A25,Nutrients_from_future_land_use!$A$5:$D$21,2,FALSE)))),0)</f>
        <v>0</v>
      </c>
      <c r="F25" s="35"/>
      <c r="G25" s="35"/>
      <c r="H25" s="35"/>
      <c r="I25" s="36">
        <f t="shared" si="0"/>
        <v>0</v>
      </c>
      <c r="J25" s="36">
        <f t="shared" si="1"/>
        <v>0</v>
      </c>
      <c r="K25" s="49" t="str">
        <f>IF(SUMIFS($B$5:$B$29,$A$5:$A$29,A25)&gt;SUMIFS(Nutrients_from_future_land_use!$B$5:$B$21,Nutrients_from_future_land_use!$A$5:$A$21,A25),"Area of new land covers within SuDS catchment area exceeds the area of new land covers proposed","Not applicable")</f>
        <v>Not applicable</v>
      </c>
    </row>
    <row r="26" spans="1:11" ht="28.5" customHeight="1" x14ac:dyDescent="0.3">
      <c r="A26" s="18"/>
      <c r="B26" s="35"/>
      <c r="C26" s="35"/>
      <c r="D26" s="36">
        <f>IFERROR(IF(ISBLANK(A26),0,IF(ISBLANK(B26),0,VLOOKUP(A26,Nutrients_from_future_land_use!$A$5:$D$21,3,FALSE)*(B26/VLOOKUP(A26,Nutrients_from_future_land_use!$A$5:$D$21,2,FALSE)))),0)</f>
        <v>0</v>
      </c>
      <c r="E26" s="36">
        <f>IFERROR(IF(ISBLANK(A26),0,IF(ISBLANK(B26),0,VLOOKUP(A26,Nutrients_from_future_land_use!$A$5:$D$21,4,FALSE)*(B26/VLOOKUP(A26,Nutrients_from_future_land_use!$A$5:$D$21,2,FALSE)))),0)</f>
        <v>0</v>
      </c>
      <c r="F26" s="35"/>
      <c r="G26" s="35"/>
      <c r="H26" s="35"/>
      <c r="I26" s="36">
        <f t="shared" si="0"/>
        <v>0</v>
      </c>
      <c r="J26" s="36">
        <f t="shared" si="1"/>
        <v>0</v>
      </c>
      <c r="K26" s="49" t="str">
        <f>IF(SUMIFS($B$5:$B$29,$A$5:$A$29,A26)&gt;SUMIFS(Nutrients_from_future_land_use!$B$5:$B$21,Nutrients_from_future_land_use!$A$5:$A$21,A26),"Area of new land covers within SuDS catchment area exceeds the area of new land covers proposed","Not applicable")</f>
        <v>Not applicable</v>
      </c>
    </row>
    <row r="27" spans="1:11" ht="28.5" customHeight="1" x14ac:dyDescent="0.3">
      <c r="A27" s="18"/>
      <c r="B27" s="35"/>
      <c r="C27" s="35"/>
      <c r="D27" s="36">
        <f>IFERROR(IF(ISBLANK(A27),0,IF(ISBLANK(B27),0,VLOOKUP(A27,Nutrients_from_future_land_use!$A$5:$D$21,3,FALSE)*(B27/VLOOKUP(A27,Nutrients_from_future_land_use!$A$5:$D$21,2,FALSE)))),0)</f>
        <v>0</v>
      </c>
      <c r="E27" s="36">
        <f>IFERROR(IF(ISBLANK(A27),0,IF(ISBLANK(B27),0,VLOOKUP(A27,Nutrients_from_future_land_use!$A$5:$D$21,4,FALSE)*(B27/VLOOKUP(A27,Nutrients_from_future_land_use!$A$5:$D$21,2,FALSE)))),0)</f>
        <v>0</v>
      </c>
      <c r="F27" s="35"/>
      <c r="G27" s="35"/>
      <c r="H27" s="35"/>
      <c r="I27" s="36">
        <f t="shared" si="0"/>
        <v>0</v>
      </c>
      <c r="J27" s="36">
        <f t="shared" si="1"/>
        <v>0</v>
      </c>
      <c r="K27" s="49" t="str">
        <f>IF(SUMIFS($B$5:$B$29,$A$5:$A$29,A27)&gt;SUMIFS(Nutrients_from_future_land_use!$B$5:$B$21,Nutrients_from_future_land_use!$A$5:$A$21,A27),"Area of new land covers within SuDS catchment area exceeds the area of new land covers proposed","Not applicable")</f>
        <v>Not applicable</v>
      </c>
    </row>
    <row r="28" spans="1:11" ht="28.5" customHeight="1" x14ac:dyDescent="0.3">
      <c r="A28" s="18"/>
      <c r="B28" s="35"/>
      <c r="C28" s="35"/>
      <c r="D28" s="36">
        <f>IFERROR(IF(ISBLANK(A28),0,IF(ISBLANK(B28),0,VLOOKUP(A28,Nutrients_from_future_land_use!$A$5:$D$21,3,FALSE)*(B28/VLOOKUP(A28,Nutrients_from_future_land_use!$A$5:$D$21,2,FALSE)))),0)</f>
        <v>0</v>
      </c>
      <c r="E28" s="36">
        <f>IFERROR(IF(ISBLANK(A28),0,IF(ISBLANK(B28),0,VLOOKUP(A28,Nutrients_from_future_land_use!$A$5:$D$21,4,FALSE)*(B28/VLOOKUP(A28,Nutrients_from_future_land_use!$A$5:$D$21,2,FALSE)))),0)</f>
        <v>0</v>
      </c>
      <c r="F28" s="35"/>
      <c r="G28" s="35"/>
      <c r="H28" s="35"/>
      <c r="I28" s="36">
        <f t="shared" si="0"/>
        <v>0</v>
      </c>
      <c r="J28" s="36">
        <f t="shared" si="1"/>
        <v>0</v>
      </c>
      <c r="K28" s="49" t="str">
        <f>IF(SUMIFS($B$5:$B$29,$A$5:$A$29,A28)&gt;SUMIFS(Nutrients_from_future_land_use!$B$5:$B$21,Nutrients_from_future_land_use!$A$5:$A$21,A28),"Area of new land covers within SuDS catchment area exceeds the area of new land covers proposed","Not applicable")</f>
        <v>Not applicable</v>
      </c>
    </row>
    <row r="29" spans="1:11" ht="28.5" customHeight="1" x14ac:dyDescent="0.3">
      <c r="A29" s="18"/>
      <c r="B29" s="35"/>
      <c r="C29" s="35"/>
      <c r="D29" s="36">
        <f>IFERROR(IF(ISBLANK(A29),0,IF(ISBLANK(B29),0,VLOOKUP(A29,Nutrients_from_future_land_use!$A$5:$D$21,3,FALSE)*(B29/VLOOKUP(A29,Nutrients_from_future_land_use!$A$5:$D$21,2,FALSE)))),0)</f>
        <v>0</v>
      </c>
      <c r="E29" s="36">
        <f>IFERROR(IF(ISBLANK(A29),0,IF(ISBLANK(B29),0,VLOOKUP(A29,Nutrients_from_future_land_use!$A$5:$D$21,4,FALSE)*(B29/VLOOKUP(A29,Nutrients_from_future_land_use!$A$5:$D$21,2,FALSE)))),0)</f>
        <v>0</v>
      </c>
      <c r="F29" s="35"/>
      <c r="G29" s="35"/>
      <c r="H29" s="35"/>
      <c r="I29" s="36">
        <f t="shared" si="0"/>
        <v>0</v>
      </c>
      <c r="J29" s="36">
        <f t="shared" si="1"/>
        <v>0</v>
      </c>
      <c r="K29" s="49" t="str">
        <f>IF(SUMIFS($B$5:$B$29,$A$5:$A$29,A29)&gt;SUMIFS(Nutrients_from_future_land_use!$B$5:$B$21,Nutrients_from_future_land_use!$A$5:$A$21,A29),"Area of new land covers within SuDS catchment area exceeds the area of new land covers proposed","Not applicable")</f>
        <v>Not applicable</v>
      </c>
    </row>
    <row r="30" spans="1:11" ht="22.35" customHeight="1" x14ac:dyDescent="0.3">
      <c r="A30" s="46" t="s">
        <v>95</v>
      </c>
      <c r="B30" s="38">
        <f>SUM(B5:B29)</f>
        <v>6.58</v>
      </c>
      <c r="C30" s="62"/>
      <c r="D30" s="38">
        <f t="shared" ref="D30:E30" si="2">SUM(D5:D29)</f>
        <v>0</v>
      </c>
      <c r="E30" s="38">
        <f t="shared" si="2"/>
        <v>0</v>
      </c>
      <c r="F30" s="62"/>
      <c r="G30" s="62"/>
      <c r="H30" s="62"/>
      <c r="I30" s="38">
        <f>SUM(I5:I29)</f>
        <v>0</v>
      </c>
      <c r="J30" s="38">
        <f>SUM(J5:J29)</f>
        <v>0</v>
      </c>
      <c r="K30" s="61"/>
    </row>
  </sheetData>
  <sheetProtection algorithmName="SHA-512" hashValue="KU2fBLgOoKMW4xs9kUdEwGc84zoGgIKanGrHu1W7U5+NmBKzdjg3eRJ/RJOKbopFnilDEulgvJUGy7FbAZVgEw==" saltValue="nPs44caZYzA/DdC8bKRqCA==" spinCount="100000" sheet="1" objects="1" scenarios="1"/>
  <protectedRanges>
    <protectedRange algorithmName="SHA-512" hashValue="MvmTLotpKiuRnedI3A4NjKJPVt4Aw8hcOvmE+D0rBMjM9TiU4ekXkprnHN0k9oVg0inb+CLcUsLFrJxBFcC6uw==" saltValue="93Zg0snhziumGVhjlXa2zg==" spinCount="100000" sqref="A5:A29 B30:E30" name="Range1"/>
    <protectedRange algorithmName="SHA-512" hashValue="MvmTLotpKiuRnedI3A4NjKJPVt4Aw8hcOvmE+D0rBMjM9TiU4ekXkprnHN0k9oVg0inb+CLcUsLFrJxBFcC6uw==" saltValue="93Zg0snhziumGVhjlXa2zg==" spinCount="100000" sqref="B5:C29" name="Range1_1"/>
  </protectedRanges>
  <phoneticPr fontId="3" type="noConversion"/>
  <dataValidations count="4">
    <dataValidation allowBlank="1" showErrorMessage="1" prompt="Please enter area in hectares." sqref="B30:E30" xr:uid="{4F17A0C8-BADF-4DA8-A067-4ABBCFF91399}"/>
    <dataValidation type="decimal" allowBlank="1" showErrorMessage="1" sqref="G5:H29" xr:uid="{71280BD0-17E2-4B70-8A1F-A9E40789C1E4}">
      <formula1>0</formula1>
      <formula2>100</formula2>
    </dataValidation>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_xlfn.ANCHORARRAY(Value_look_up_tables!$A$184)</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C23"/>
  <sheetViews>
    <sheetView tabSelected="1" topLeftCell="A3" zoomScaleNormal="100" workbookViewId="0">
      <selection activeCell="C20" sqref="C20"/>
    </sheetView>
  </sheetViews>
  <sheetFormatPr defaultColWidth="9.109375" defaultRowHeight="15" x14ac:dyDescent="0.3"/>
  <cols>
    <col min="1" max="1" width="65.5546875" style="2" customWidth="1"/>
    <col min="2" max="4" width="40.5546875" style="2" customWidth="1"/>
    <col min="5" max="466" width="8.5546875" style="2" customWidth="1"/>
    <col min="467" max="16383" width="9.109375" style="2" customWidth="1"/>
    <col min="16384" max="16384" width="18.33203125" style="2" customWidth="1"/>
  </cols>
  <sheetData>
    <row r="1" spans="1:2" ht="37.5" customHeight="1" x14ac:dyDescent="0.3">
      <c r="A1" s="11" t="s">
        <v>114</v>
      </c>
      <c r="B1" s="10"/>
    </row>
    <row r="2" spans="1:2" ht="323.25" customHeight="1" x14ac:dyDescent="0.3">
      <c r="A2" s="97" t="s">
        <v>115</v>
      </c>
      <c r="B2" s="10"/>
    </row>
    <row r="3" spans="1:2" ht="54.75" customHeight="1" x14ac:dyDescent="0.3">
      <c r="A3" s="4" t="s">
        <v>116</v>
      </c>
      <c r="B3" s="10"/>
    </row>
    <row r="4" spans="1:2" ht="22.5" customHeight="1" x14ac:dyDescent="0.3">
      <c r="A4" s="24" t="s">
        <v>77</v>
      </c>
      <c r="B4" s="25" t="s">
        <v>78</v>
      </c>
    </row>
    <row r="5" spans="1:2" ht="22.5" customHeight="1" x14ac:dyDescent="0.3">
      <c r="A5" s="26" t="s">
        <v>117</v>
      </c>
      <c r="B5" s="51">
        <f>Nutrients_from_wastewater!B22</f>
        <v>5.32</v>
      </c>
    </row>
    <row r="6" spans="1:2" ht="22.5" customHeight="1" x14ac:dyDescent="0.3">
      <c r="A6" s="26" t="s">
        <v>118</v>
      </c>
      <c r="B6" s="52">
        <f>IFERROR(Nutrients_from_future_land_use!C22-SuDS!I30-Nutrients_from_current_land_use!C28,0)</f>
        <v>0</v>
      </c>
    </row>
    <row r="7" spans="1:2" ht="22.5" customHeight="1" x14ac:dyDescent="0.3">
      <c r="A7" s="26" t="s">
        <v>119</v>
      </c>
      <c r="B7" s="51">
        <f>IFERROR(B5+B6,0)</f>
        <v>5.32</v>
      </c>
    </row>
    <row r="8" spans="1:2" ht="22.5" customHeight="1" x14ac:dyDescent="0.3">
      <c r="A8" s="26" t="s">
        <v>120</v>
      </c>
      <c r="B8" s="51">
        <f>IFERROR(B7*1.2,0)</f>
        <v>6.3840000000000003</v>
      </c>
    </row>
    <row r="9" spans="1:2" ht="22.5" customHeight="1" x14ac:dyDescent="0.3">
      <c r="A9" s="26" t="s">
        <v>121</v>
      </c>
      <c r="B9" s="51">
        <f>Nutrients_from_wastewater!B23</f>
        <v>170.1</v>
      </c>
    </row>
    <row r="10" spans="1:2" ht="22.5" customHeight="1" x14ac:dyDescent="0.3">
      <c r="A10" s="26" t="s">
        <v>122</v>
      </c>
      <c r="B10" s="51">
        <f>IFERROR(Nutrients_from_future_land_use!D22-SuDS!J30-Nutrients_from_current_land_use!D28,0)</f>
        <v>0</v>
      </c>
    </row>
    <row r="11" spans="1:2" ht="22.5" customHeight="1" x14ac:dyDescent="0.3">
      <c r="A11" s="26" t="s">
        <v>123</v>
      </c>
      <c r="B11" s="51">
        <f>IFERROR(B9+B10,0)</f>
        <v>170.1</v>
      </c>
    </row>
    <row r="12" spans="1:2" ht="22.5" customHeight="1" x14ac:dyDescent="0.3">
      <c r="A12" s="26" t="s">
        <v>124</v>
      </c>
      <c r="B12" s="51">
        <f>IFERROR(B11*1.2,0)</f>
        <v>204.11999999999998</v>
      </c>
    </row>
    <row r="13" spans="1:2" ht="22.5" customHeight="1" x14ac:dyDescent="0.3">
      <c r="A13" s="53" t="str">
        <f>IFERROR(IF(AND(Nutrients_from_wastewater!$B$5&lt;DATE(2025,1,1),OR((VLOOKUP(Nutrients_from_wastewater!$B$10,Value_look_up_tables!$A$5:$E$10,2,FALSE))&gt;(VLOOKUP(Nutrients_from_wastewater!$B$10,Value_look_up_tables!$A$5:$E$10,4,FALSE)),(VLOOKUP(Nutrients_from_wastewater!$B$10,Value_look_up_tables!$A$5:$E$10,3,FALSE))&gt;(VLOOKUP(Nutrients_from_wastewater!$B$10,Value_look_up_tables!$A$5:$E$10,5,FALSE)))),"Post-2030 annual nutrient budget","Annual nutrient budget"),"Annual nutrient budget")</f>
        <v>Annual nutrient budget</v>
      </c>
      <c r="B13" s="54"/>
    </row>
    <row r="14" spans="1:2" ht="22.5" customHeight="1" x14ac:dyDescent="0.3">
      <c r="A14" s="26" t="s">
        <v>125</v>
      </c>
      <c r="B14" s="51">
        <f>IFERROR(IF(ROUND(B8,2)&lt;0,0,ROUND(B8,2)),0)</f>
        <v>6.38</v>
      </c>
    </row>
    <row r="15" spans="1:2" ht="22.5" customHeight="1" x14ac:dyDescent="0.3">
      <c r="A15" s="26" t="s">
        <v>126</v>
      </c>
      <c r="B15" s="51">
        <f>IFERROR(IF(ROUND(B12,2)&lt;0,0,ROUND(B12,2)),0)</f>
        <v>204.12</v>
      </c>
    </row>
    <row r="16" spans="1:2" ht="22.5" customHeight="1" x14ac:dyDescent="0.3">
      <c r="A16" s="53" t="str">
        <f>IF(Nutrients_from_wastewater!A24="Not applicable","Not applicable",LEFT(Nutrients_from_wastewater!A24,9)&amp;"nutrient budget")</f>
        <v>Pre-2030 nutrient budget</v>
      </c>
      <c r="B16" s="54"/>
    </row>
    <row r="17" spans="1:3" ht="22.5" customHeight="1" x14ac:dyDescent="0.3">
      <c r="A17" s="26" t="str">
        <f>IF(A16&lt;&gt;"Not applicable","The total annual phosphorus load to mitigate is (kg TP/yr):","Not applicable")</f>
        <v>The total annual phosphorus load to mitigate is (kg TP/yr):</v>
      </c>
      <c r="B17" s="51">
        <f>IFERROR(ROUND((Nutrients_from_wastewater!B25+$B$6)*1.2,2),"Not applicable")</f>
        <v>15.31</v>
      </c>
    </row>
    <row r="18" spans="1:3" ht="22.5" customHeight="1" x14ac:dyDescent="0.3">
      <c r="A18" s="26" t="str">
        <f>IF(A16&lt;&gt;"Not applicable","The total annual nitrogen load to mitigate is (kg TN/yr):","Not applicable")</f>
        <v>The total annual nitrogen load to mitigate is (kg TN/yr):</v>
      </c>
      <c r="B18" s="51">
        <f>IFERROR(ROUND((Nutrients_from_wastewater!B26+$B$10)*1.2,2),"Not applicable")</f>
        <v>708.73</v>
      </c>
    </row>
    <row r="19" spans="1:3" ht="22.5" customHeight="1" x14ac:dyDescent="0.3">
      <c r="A19" s="53" t="str">
        <f>IF(Nutrients_from_wastewater!A27="Not applicable","Not applicable",LEFT(Nutrients_from_wastewater!A27,9)&amp;"nutrient budget")</f>
        <v>Not applicable</v>
      </c>
      <c r="B19" s="54"/>
    </row>
    <row r="20" spans="1:3" ht="22.5" customHeight="1" x14ac:dyDescent="0.3">
      <c r="A20" s="26" t="str">
        <f>IF(A19&lt;&gt;"Not applicable","The total annual phosphorus load to mitigate is (kg TP/yr):","Not applicable")</f>
        <v>Not applicable</v>
      </c>
      <c r="B20" s="51" t="str">
        <f>IFERROR(IF(Nutrients_from_wastewater!$A$27="Not applicable","Not applicable",ROUND((Nutrients_from_wastewater!B28+$B$6)*1.2,2)),IFERROR(B17,"Not applicable"))</f>
        <v>Not applicable</v>
      </c>
    </row>
    <row r="21" spans="1:3" ht="22.35" customHeight="1" x14ac:dyDescent="0.3">
      <c r="A21" s="32" t="str">
        <f>IF(A19&lt;&gt;"Not applicable","The total annual nitrogen load to mitigate is (kg TN/yr):","Not applicable")</f>
        <v>Not applicable</v>
      </c>
      <c r="B21" s="63" t="str">
        <f>IFERROR(IF(Nutrients_from_wastewater!$A$27="Not applicable","Not applicable",ROUND((Nutrients_from_wastewater!B29+$B$10)*1.2,2)),IFERROR(B18,"Not applicable"))</f>
        <v>Not applicable</v>
      </c>
    </row>
    <row r="22" spans="1:3" ht="22.35" customHeight="1" x14ac:dyDescent="0.3">
      <c r="A22" s="10"/>
      <c r="B22" s="45"/>
    </row>
    <row r="23" spans="1:3" ht="15.6" x14ac:dyDescent="0.3">
      <c r="A23" s="10"/>
      <c r="B23" s="45"/>
      <c r="C23" s="10"/>
    </row>
  </sheetData>
  <sheetProtection algorithmName="SHA-512" hashValue="1Om9GRn81aK92mYydRNdVxDegcA2bU4nhNMfod2yDLq/gTQgvF+VLxz7LBvuymeCRF/2A2t87hExwCQigZ+AmQ==" saltValue="tk0BmfaryaS1mTsqbXERrQ=="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184"/>
  <sheetViews>
    <sheetView zoomScaleNormal="100" workbookViewId="0"/>
  </sheetViews>
  <sheetFormatPr defaultColWidth="65.44140625" defaultRowHeight="15" x14ac:dyDescent="0.25"/>
  <cols>
    <col min="1" max="1" width="41" style="65" customWidth="1"/>
    <col min="2" max="3" width="15.6640625" style="65" customWidth="1"/>
    <col min="4" max="4" width="17.33203125" style="65" customWidth="1"/>
    <col min="5" max="5" width="25.6640625" style="65" customWidth="1"/>
    <col min="6" max="6" width="50.6640625" style="65" customWidth="1"/>
    <col min="7" max="7" width="27.88671875" style="65" customWidth="1"/>
    <col min="8" max="8" width="15.6640625" style="65" customWidth="1"/>
    <col min="9" max="9" width="25.6640625" style="65" customWidth="1"/>
    <col min="10" max="10" width="25" style="65" customWidth="1"/>
    <col min="11" max="13" width="15.6640625" style="65" customWidth="1"/>
    <col min="14" max="16384" width="65.44140625" style="65"/>
  </cols>
  <sheetData>
    <row r="1" spans="1:14" ht="54.75" customHeight="1" x14ac:dyDescent="0.25">
      <c r="A1" s="11" t="s">
        <v>12</v>
      </c>
      <c r="B1" s="64"/>
      <c r="C1" s="64"/>
      <c r="D1" s="64"/>
      <c r="E1" s="64"/>
      <c r="F1" s="64"/>
      <c r="G1" s="64"/>
      <c r="H1" s="64"/>
      <c r="I1" s="64"/>
      <c r="J1" s="64"/>
      <c r="K1" s="64"/>
      <c r="L1" s="64"/>
      <c r="M1" s="64"/>
      <c r="N1" s="64"/>
    </row>
    <row r="2" spans="1:14" ht="69.75" customHeight="1" x14ac:dyDescent="0.25">
      <c r="A2" s="13" t="s">
        <v>127</v>
      </c>
    </row>
    <row r="3" spans="1:14" ht="36.75" customHeight="1" x14ac:dyDescent="0.25">
      <c r="A3" s="95" t="s">
        <v>128</v>
      </c>
    </row>
    <row r="4" spans="1:14" ht="86.25" customHeight="1" x14ac:dyDescent="0.25">
      <c r="A4" s="14" t="s">
        <v>129</v>
      </c>
      <c r="B4" s="15" t="s">
        <v>130</v>
      </c>
      <c r="C4" s="15" t="s">
        <v>131</v>
      </c>
      <c r="D4" s="15" t="s">
        <v>132</v>
      </c>
      <c r="E4" s="15" t="s">
        <v>133</v>
      </c>
      <c r="F4" s="96" t="s">
        <v>134</v>
      </c>
      <c r="G4" s="96" t="s">
        <v>135</v>
      </c>
      <c r="H4" s="15" t="s">
        <v>136</v>
      </c>
      <c r="I4" s="15" t="s">
        <v>137</v>
      </c>
      <c r="J4" s="74" t="s">
        <v>138</v>
      </c>
      <c r="L4" s="66"/>
      <c r="M4" s="66"/>
    </row>
    <row r="5" spans="1:14" x14ac:dyDescent="0.25">
      <c r="A5" s="75" t="s">
        <v>139</v>
      </c>
      <c r="B5" s="70">
        <v>1</v>
      </c>
      <c r="C5" s="70">
        <f>F5+2</f>
        <v>27</v>
      </c>
      <c r="D5" s="70">
        <v>0.6</v>
      </c>
      <c r="E5" s="70">
        <v>27</v>
      </c>
      <c r="F5" s="70">
        <v>25</v>
      </c>
      <c r="G5" s="70">
        <v>25</v>
      </c>
      <c r="H5" s="70">
        <v>0.25</v>
      </c>
      <c r="I5" s="70">
        <v>10</v>
      </c>
      <c r="J5" s="80">
        <v>8</v>
      </c>
      <c r="L5" s="66"/>
      <c r="M5" s="66"/>
    </row>
    <row r="6" spans="1:14" x14ac:dyDescent="0.25">
      <c r="A6" s="75" t="s">
        <v>140</v>
      </c>
      <c r="B6" s="70">
        <v>1</v>
      </c>
      <c r="C6" s="70">
        <f t="shared" ref="C6:C10" si="0">F6+2</f>
        <v>27</v>
      </c>
      <c r="D6" s="70">
        <v>0.25</v>
      </c>
      <c r="E6" s="70">
        <f t="shared" ref="E6:E10" si="1">G6+2</f>
        <v>27</v>
      </c>
      <c r="F6" s="70">
        <v>25</v>
      </c>
      <c r="G6" s="70">
        <v>25</v>
      </c>
      <c r="H6" s="70">
        <v>0.25</v>
      </c>
      <c r="I6" s="70">
        <v>10</v>
      </c>
      <c r="J6" s="80">
        <v>8</v>
      </c>
      <c r="L6" s="66"/>
      <c r="M6" s="66"/>
    </row>
    <row r="7" spans="1:14" x14ac:dyDescent="0.25">
      <c r="A7" s="75" t="s">
        <v>141</v>
      </c>
      <c r="B7" s="70">
        <v>1</v>
      </c>
      <c r="C7" s="70">
        <f t="shared" si="0"/>
        <v>27</v>
      </c>
      <c r="D7" s="70">
        <v>1</v>
      </c>
      <c r="E7" s="70">
        <v>27</v>
      </c>
      <c r="F7" s="70">
        <v>25</v>
      </c>
      <c r="G7" s="70">
        <v>25</v>
      </c>
      <c r="H7" s="70">
        <v>0.25</v>
      </c>
      <c r="I7" s="70">
        <v>10</v>
      </c>
      <c r="J7" s="80">
        <v>8</v>
      </c>
      <c r="L7" s="66"/>
      <c r="M7" s="66"/>
    </row>
    <row r="8" spans="1:14" x14ac:dyDescent="0.25">
      <c r="A8" s="75" t="s">
        <v>142</v>
      </c>
      <c r="B8" s="70">
        <v>8</v>
      </c>
      <c r="C8" s="70">
        <v>25</v>
      </c>
      <c r="D8" s="70">
        <v>8</v>
      </c>
      <c r="E8" s="70">
        <v>25</v>
      </c>
      <c r="F8" s="70">
        <v>23</v>
      </c>
      <c r="G8" s="70">
        <v>23</v>
      </c>
      <c r="H8" s="70">
        <v>0.25</v>
      </c>
      <c r="I8" s="70">
        <v>10</v>
      </c>
      <c r="J8" s="80">
        <v>8</v>
      </c>
      <c r="L8" s="66"/>
      <c r="M8" s="66"/>
    </row>
    <row r="9" spans="1:14" x14ac:dyDescent="0.25">
      <c r="A9" s="75" t="s">
        <v>143</v>
      </c>
      <c r="B9" s="70">
        <v>9.6999999999999993</v>
      </c>
      <c r="C9" s="70">
        <f t="shared" si="0"/>
        <v>72.900000000000006</v>
      </c>
      <c r="D9" s="70">
        <v>9.6999999999999993</v>
      </c>
      <c r="E9" s="70">
        <f t="shared" si="1"/>
        <v>72.900000000000006</v>
      </c>
      <c r="F9" s="70">
        <v>70.900000000000006</v>
      </c>
      <c r="G9" s="70">
        <v>70.900000000000006</v>
      </c>
      <c r="H9" s="70">
        <v>9.6999999999999993</v>
      </c>
      <c r="I9" s="70">
        <f>J9+2</f>
        <v>72.900000000000006</v>
      </c>
      <c r="J9" s="80">
        <v>70.900000000000006</v>
      </c>
      <c r="L9" s="66"/>
      <c r="M9" s="66"/>
    </row>
    <row r="10" spans="1:14" x14ac:dyDescent="0.25">
      <c r="A10" s="75" t="s">
        <v>144</v>
      </c>
      <c r="B10" s="70">
        <v>11.6</v>
      </c>
      <c r="C10" s="70">
        <f t="shared" si="0"/>
        <v>96.3</v>
      </c>
      <c r="D10" s="70">
        <v>11.6</v>
      </c>
      <c r="E10" s="70">
        <f t="shared" si="1"/>
        <v>96.3</v>
      </c>
      <c r="F10" s="70">
        <v>94.3</v>
      </c>
      <c r="G10" s="70">
        <v>94.3</v>
      </c>
      <c r="H10" s="70">
        <v>11.6</v>
      </c>
      <c r="I10" s="70">
        <f>J10+2</f>
        <v>96.3</v>
      </c>
      <c r="J10" s="80">
        <v>94.3</v>
      </c>
      <c r="L10" s="66"/>
      <c r="M10" s="66"/>
    </row>
    <row r="11" spans="1:14" x14ac:dyDescent="0.25">
      <c r="A11" s="75" t="s">
        <v>145</v>
      </c>
      <c r="B11" s="70"/>
      <c r="C11" s="70"/>
      <c r="D11" s="70"/>
      <c r="E11" s="70"/>
      <c r="F11" s="70"/>
      <c r="G11" s="70"/>
      <c r="H11" s="70"/>
      <c r="I11" s="70"/>
      <c r="J11" s="80"/>
      <c r="L11" s="66"/>
      <c r="M11" s="66"/>
    </row>
    <row r="12" spans="1:14" x14ac:dyDescent="0.25">
      <c r="A12" s="77" t="s">
        <v>146</v>
      </c>
      <c r="B12" s="82"/>
      <c r="C12" s="82"/>
      <c r="D12" s="82"/>
      <c r="E12" s="82"/>
      <c r="F12" s="82"/>
      <c r="G12" s="82"/>
      <c r="H12" s="82"/>
      <c r="I12" s="82"/>
      <c r="J12" s="83"/>
      <c r="L12" s="66"/>
      <c r="M12" s="66"/>
    </row>
    <row r="13" spans="1:14" x14ac:dyDescent="0.25">
      <c r="A13" s="66"/>
      <c r="B13" s="66"/>
      <c r="C13" s="66"/>
      <c r="D13" s="66"/>
      <c r="E13" s="66"/>
      <c r="F13" s="66"/>
      <c r="G13" s="66"/>
      <c r="H13" s="66"/>
      <c r="I13" s="66"/>
      <c r="J13" s="66"/>
      <c r="K13" s="66"/>
      <c r="L13" s="66"/>
      <c r="M13" s="66"/>
    </row>
    <row r="14" spans="1:14" ht="42.75" customHeight="1" x14ac:dyDescent="0.25">
      <c r="A14" s="4" t="s">
        <v>147</v>
      </c>
      <c r="B14" s="66"/>
      <c r="C14" s="66"/>
      <c r="D14" s="66"/>
      <c r="E14" s="66"/>
      <c r="F14" s="66"/>
      <c r="G14" s="66"/>
      <c r="H14" s="66"/>
      <c r="I14" s="66"/>
      <c r="J14" s="66"/>
      <c r="K14" s="66"/>
      <c r="L14" s="66"/>
      <c r="M14" s="66"/>
    </row>
    <row r="15" spans="1:14" ht="78" x14ac:dyDescent="0.25">
      <c r="A15" s="14" t="s">
        <v>148</v>
      </c>
      <c r="B15" s="15" t="s">
        <v>149</v>
      </c>
      <c r="C15" s="15" t="s">
        <v>150</v>
      </c>
      <c r="D15" s="15" t="s">
        <v>151</v>
      </c>
      <c r="E15" s="15" t="s">
        <v>152</v>
      </c>
      <c r="F15" s="15" t="s">
        <v>153</v>
      </c>
      <c r="G15" s="15" t="s">
        <v>154</v>
      </c>
      <c r="H15" s="15" t="s">
        <v>155</v>
      </c>
      <c r="I15" s="15" t="s">
        <v>156</v>
      </c>
      <c r="J15" s="15" t="s">
        <v>157</v>
      </c>
      <c r="K15" s="15" t="s">
        <v>158</v>
      </c>
      <c r="L15" s="15" t="s">
        <v>159</v>
      </c>
      <c r="M15" s="25" t="s">
        <v>160</v>
      </c>
    </row>
    <row r="16" spans="1:14" ht="17.25" customHeight="1" x14ac:dyDescent="0.25">
      <c r="A16" s="88" t="s">
        <v>161</v>
      </c>
      <c r="B16" s="89" t="s">
        <v>162</v>
      </c>
      <c r="C16" s="89" t="b">
        <v>1</v>
      </c>
      <c r="D16" s="89" t="s">
        <v>163</v>
      </c>
      <c r="E16" s="89" t="s">
        <v>164</v>
      </c>
      <c r="F16" s="70" t="str">
        <f>A16&amp;"|"&amp;B16&amp;"|"&amp;C16&amp;"|"&amp;D16&amp;"|"&amp;E16</f>
        <v>Itchen|Cereals|TRUE|700to900|FreeDrain</v>
      </c>
      <c r="G16" s="90">
        <v>0.1</v>
      </c>
      <c r="H16" s="90">
        <v>28.76</v>
      </c>
      <c r="I16" s="70" t="str">
        <f t="shared" ref="I16:I79" si="2">B16&amp;"|"&amp;D16</f>
        <v>Cereals|700to900</v>
      </c>
      <c r="J16" s="90">
        <f>AVERAGE(G16:G18)</f>
        <v>0.58333333333333337</v>
      </c>
      <c r="K16" s="90">
        <f>AVERAGE(H16:H18)</f>
        <v>23.810000000000002</v>
      </c>
      <c r="L16" s="90">
        <f>AVERAGE(G16:G19)</f>
        <v>0.48249999999999998</v>
      </c>
      <c r="M16" s="76">
        <f>AVERAGE(H16:H19)</f>
        <v>25.5</v>
      </c>
    </row>
    <row r="17" spans="1:13" x14ac:dyDescent="0.25">
      <c r="A17" s="88" t="s">
        <v>161</v>
      </c>
      <c r="B17" s="89" t="s">
        <v>162</v>
      </c>
      <c r="C17" s="89" t="b">
        <v>1</v>
      </c>
      <c r="D17" s="89" t="s">
        <v>163</v>
      </c>
      <c r="E17" s="89" t="s">
        <v>165</v>
      </c>
      <c r="F17" s="70" t="str">
        <f t="shared" ref="F17:F39" si="3">A17&amp;"|"&amp;B17&amp;"|"&amp;C17&amp;"|"&amp;D17&amp;"|"&amp;E17</f>
        <v>Itchen|Cereals|TRUE|700to900|DrainedAr</v>
      </c>
      <c r="G17" s="90">
        <v>0.7</v>
      </c>
      <c r="H17" s="90">
        <v>22.06</v>
      </c>
      <c r="I17" s="70" t="str">
        <f t="shared" si="2"/>
        <v>Cereals|700to900</v>
      </c>
      <c r="J17" s="90">
        <f>AVERAGE(G16:G18)</f>
        <v>0.58333333333333337</v>
      </c>
      <c r="K17" s="90">
        <f>AVERAGE(H16:H18)</f>
        <v>23.810000000000002</v>
      </c>
      <c r="L17" s="90"/>
      <c r="M17" s="76"/>
    </row>
    <row r="18" spans="1:13" x14ac:dyDescent="0.25">
      <c r="A18" s="88" t="s">
        <v>161</v>
      </c>
      <c r="B18" s="89" t="s">
        <v>162</v>
      </c>
      <c r="C18" s="89" t="b">
        <v>1</v>
      </c>
      <c r="D18" s="89" t="s">
        <v>163</v>
      </c>
      <c r="E18" s="89" t="s">
        <v>166</v>
      </c>
      <c r="F18" s="70" t="str">
        <f t="shared" si="3"/>
        <v>Itchen|Cereals|TRUE|700to900|DrainedArGr</v>
      </c>
      <c r="G18" s="90">
        <v>0.95</v>
      </c>
      <c r="H18" s="90">
        <v>20.61</v>
      </c>
      <c r="I18" s="70" t="str">
        <f t="shared" si="2"/>
        <v>Cereals|700to900</v>
      </c>
      <c r="J18" s="90">
        <f>AVERAGE(G16:G18)</f>
        <v>0.58333333333333337</v>
      </c>
      <c r="K18" s="90">
        <f>AVERAGE(H16:H18)</f>
        <v>23.810000000000002</v>
      </c>
      <c r="L18" s="90"/>
      <c r="M18" s="76"/>
    </row>
    <row r="19" spans="1:13" x14ac:dyDescent="0.25">
      <c r="A19" s="88" t="s">
        <v>161</v>
      </c>
      <c r="B19" s="89" t="s">
        <v>162</v>
      </c>
      <c r="C19" s="89" t="b">
        <v>1</v>
      </c>
      <c r="D19" s="89" t="s">
        <v>167</v>
      </c>
      <c r="E19" s="89" t="s">
        <v>164</v>
      </c>
      <c r="F19" s="70" t="str">
        <f t="shared" si="3"/>
        <v>Itchen|Cereals|TRUE|900to1200|FreeDrain</v>
      </c>
      <c r="G19" s="90">
        <v>0.18</v>
      </c>
      <c r="H19" s="90">
        <v>30.57</v>
      </c>
      <c r="I19" s="70" t="str">
        <f t="shared" si="2"/>
        <v>Cereals|900to1200</v>
      </c>
      <c r="J19" s="90">
        <f>AVERAGE(G43)</f>
        <v>1.18</v>
      </c>
      <c r="K19" s="90">
        <f>AVERAGE(H43)</f>
        <v>26.81</v>
      </c>
      <c r="L19" s="90"/>
      <c r="M19" s="76"/>
    </row>
    <row r="20" spans="1:13" x14ac:dyDescent="0.25">
      <c r="A20" s="88" t="s">
        <v>161</v>
      </c>
      <c r="B20" s="89" t="s">
        <v>168</v>
      </c>
      <c r="C20" s="89" t="b">
        <v>1</v>
      </c>
      <c r="D20" s="89" t="s">
        <v>163</v>
      </c>
      <c r="E20" s="89" t="s">
        <v>164</v>
      </c>
      <c r="F20" s="70" t="str">
        <f t="shared" si="3"/>
        <v>Itchen|General|TRUE|700to900|FreeDrain</v>
      </c>
      <c r="G20" s="90">
        <v>0.08</v>
      </c>
      <c r="H20" s="90">
        <v>21.65</v>
      </c>
      <c r="I20" s="70" t="str">
        <f t="shared" si="2"/>
        <v>General|700to900</v>
      </c>
      <c r="J20" s="90">
        <f>AVERAGE(G20:G22)</f>
        <v>0.43333333333333329</v>
      </c>
      <c r="K20" s="90">
        <f>AVERAGE(H20:H22)</f>
        <v>17.546666666666663</v>
      </c>
      <c r="L20" s="90">
        <f>AVERAGE(G20:G23)</f>
        <v>0.36</v>
      </c>
      <c r="M20" s="76">
        <f>AVERAGE(H20:H23)</f>
        <v>18.954999999999998</v>
      </c>
    </row>
    <row r="21" spans="1:13" x14ac:dyDescent="0.25">
      <c r="A21" s="88" t="s">
        <v>161</v>
      </c>
      <c r="B21" s="89" t="s">
        <v>168</v>
      </c>
      <c r="C21" s="89" t="b">
        <v>1</v>
      </c>
      <c r="D21" s="89" t="s">
        <v>163</v>
      </c>
      <c r="E21" s="89" t="s">
        <v>165</v>
      </c>
      <c r="F21" s="70" t="str">
        <f t="shared" si="3"/>
        <v>Itchen|General|TRUE|700to900|DrainedAr</v>
      </c>
      <c r="G21" s="90">
        <v>0.49</v>
      </c>
      <c r="H21" s="90">
        <v>16.23</v>
      </c>
      <c r="I21" s="70" t="str">
        <f t="shared" si="2"/>
        <v>General|700to900</v>
      </c>
      <c r="J21" s="90">
        <f>AVERAGE(G20:G22)</f>
        <v>0.43333333333333329</v>
      </c>
      <c r="K21" s="90">
        <f>AVERAGE(H20:H22)</f>
        <v>17.546666666666663</v>
      </c>
      <c r="L21" s="90"/>
      <c r="M21" s="76"/>
    </row>
    <row r="22" spans="1:13" x14ac:dyDescent="0.25">
      <c r="A22" s="88" t="s">
        <v>161</v>
      </c>
      <c r="B22" s="89" t="s">
        <v>168</v>
      </c>
      <c r="C22" s="89" t="b">
        <v>1</v>
      </c>
      <c r="D22" s="89" t="s">
        <v>163</v>
      </c>
      <c r="E22" s="89" t="s">
        <v>166</v>
      </c>
      <c r="F22" s="70" t="str">
        <f t="shared" si="3"/>
        <v>Itchen|General|TRUE|700to900|DrainedArGr</v>
      </c>
      <c r="G22" s="90">
        <v>0.73</v>
      </c>
      <c r="H22" s="90">
        <v>14.76</v>
      </c>
      <c r="I22" s="70" t="str">
        <f t="shared" si="2"/>
        <v>General|700to900</v>
      </c>
      <c r="J22" s="90">
        <f>AVERAGE(G20:G22)</f>
        <v>0.43333333333333329</v>
      </c>
      <c r="K22" s="90">
        <f>AVERAGE(H20:H22)</f>
        <v>17.546666666666663</v>
      </c>
      <c r="L22" s="90"/>
      <c r="M22" s="76"/>
    </row>
    <row r="23" spans="1:13" x14ac:dyDescent="0.25">
      <c r="A23" s="88" t="s">
        <v>161</v>
      </c>
      <c r="B23" s="89" t="s">
        <v>168</v>
      </c>
      <c r="C23" s="89" t="b">
        <v>1</v>
      </c>
      <c r="D23" s="89" t="s">
        <v>167</v>
      </c>
      <c r="E23" s="89" t="s">
        <v>164</v>
      </c>
      <c r="F23" s="70" t="str">
        <f t="shared" si="3"/>
        <v>Itchen|General|TRUE|900to1200|FreeDrain</v>
      </c>
      <c r="G23" s="90">
        <v>0.14000000000000001</v>
      </c>
      <c r="H23" s="90">
        <v>23.18</v>
      </c>
      <c r="I23" s="70" t="str">
        <f t="shared" si="2"/>
        <v>General|900to1200</v>
      </c>
      <c r="J23" s="90">
        <f>AVERAGE(G23,G47:G48)</f>
        <v>0.66</v>
      </c>
      <c r="K23" s="90">
        <f>AVERAGE(H23,H47:H48)</f>
        <v>18.14</v>
      </c>
      <c r="L23" s="90"/>
      <c r="M23" s="76"/>
    </row>
    <row r="24" spans="1:13" x14ac:dyDescent="0.25">
      <c r="A24" s="88" t="s">
        <v>161</v>
      </c>
      <c r="B24" s="89" t="s">
        <v>169</v>
      </c>
      <c r="C24" s="89" t="b">
        <v>1</v>
      </c>
      <c r="D24" s="89" t="s">
        <v>163</v>
      </c>
      <c r="E24" s="89" t="s">
        <v>164</v>
      </c>
      <c r="F24" s="70" t="str">
        <f t="shared" si="3"/>
        <v>Itchen|Horticulture|TRUE|700to900|FreeDrain</v>
      </c>
      <c r="G24" s="90">
        <v>0.09</v>
      </c>
      <c r="H24" s="90">
        <v>21.82</v>
      </c>
      <c r="I24" s="70" t="str">
        <f t="shared" si="2"/>
        <v>Horticulture|700to900</v>
      </c>
      <c r="J24" s="90">
        <f>AVERAGE(G24,G25)</f>
        <v>0.47</v>
      </c>
      <c r="K24" s="90">
        <f>AVERAGE(H24,H25)</f>
        <v>18.11</v>
      </c>
      <c r="L24" s="90">
        <f>AVERAGE(G24:G26)</f>
        <v>0.36666666666666664</v>
      </c>
      <c r="M24" s="76">
        <f>AVERAGE(H24:H26)</f>
        <v>19.88</v>
      </c>
    </row>
    <row r="25" spans="1:13" x14ac:dyDescent="0.25">
      <c r="A25" s="88" t="s">
        <v>161</v>
      </c>
      <c r="B25" s="89" t="s">
        <v>169</v>
      </c>
      <c r="C25" s="89" t="b">
        <v>1</v>
      </c>
      <c r="D25" s="89" t="s">
        <v>163</v>
      </c>
      <c r="E25" s="89" t="s">
        <v>166</v>
      </c>
      <c r="F25" s="70" t="str">
        <f t="shared" si="3"/>
        <v>Itchen|Horticulture|TRUE|700to900|DrainedArGr</v>
      </c>
      <c r="G25" s="90">
        <v>0.85</v>
      </c>
      <c r="H25" s="90">
        <v>14.4</v>
      </c>
      <c r="I25" s="70" t="str">
        <f t="shared" si="2"/>
        <v>Horticulture|700to900</v>
      </c>
      <c r="J25" s="90">
        <f>AVERAGE(G24,G25)</f>
        <v>0.47</v>
      </c>
      <c r="K25" s="90">
        <f>AVERAGE(H24,H25)</f>
        <v>18.11</v>
      </c>
      <c r="L25" s="90"/>
      <c r="M25" s="76"/>
    </row>
    <row r="26" spans="1:13" x14ac:dyDescent="0.25">
      <c r="A26" s="88" t="s">
        <v>161</v>
      </c>
      <c r="B26" s="89" t="s">
        <v>169</v>
      </c>
      <c r="C26" s="89" t="b">
        <v>1</v>
      </c>
      <c r="D26" s="89" t="s">
        <v>167</v>
      </c>
      <c r="E26" s="89" t="s">
        <v>164</v>
      </c>
      <c r="F26" s="70" t="str">
        <f t="shared" si="3"/>
        <v>Itchen|Horticulture|TRUE|900to1200|FreeDrain</v>
      </c>
      <c r="G26" s="90">
        <v>0.16</v>
      </c>
      <c r="H26" s="90">
        <v>23.42</v>
      </c>
      <c r="I26" s="70" t="str">
        <f t="shared" si="2"/>
        <v>Horticulture|900to1200</v>
      </c>
      <c r="J26" s="90">
        <f>AVERAGE(G26,G52:G53)</f>
        <v>0.79999999999999993</v>
      </c>
      <c r="K26" s="90">
        <f>AVERAGE(H26,H52:H53)</f>
        <v>19.103333333333335</v>
      </c>
      <c r="L26" s="90"/>
      <c r="M26" s="76"/>
    </row>
    <row r="27" spans="1:13" x14ac:dyDescent="0.25">
      <c r="A27" s="88" t="s">
        <v>161</v>
      </c>
      <c r="B27" s="89" t="s">
        <v>170</v>
      </c>
      <c r="C27" s="89" t="b">
        <v>1</v>
      </c>
      <c r="D27" s="89" t="s">
        <v>163</v>
      </c>
      <c r="E27" s="89" t="s">
        <v>164</v>
      </c>
      <c r="F27" s="70" t="str">
        <f t="shared" si="3"/>
        <v>Itchen|Poultry|TRUE|700to900|FreeDrain</v>
      </c>
      <c r="G27" s="90">
        <v>0.09</v>
      </c>
      <c r="H27" s="90">
        <v>78.56</v>
      </c>
      <c r="I27" s="70" t="str">
        <f t="shared" si="2"/>
        <v>Poultry|700to900</v>
      </c>
      <c r="J27" s="90">
        <f>AVERAGE(G27,G58)</f>
        <v>0.51500000000000001</v>
      </c>
      <c r="K27" s="90">
        <f>AVERAGE(H27,H58)</f>
        <v>85.43</v>
      </c>
      <c r="L27" s="90">
        <f>AVERAGE(G27:G29)</f>
        <v>0.13</v>
      </c>
      <c r="M27" s="76">
        <f>AVERAGE(H27:H29)</f>
        <v>81.13666666666667</v>
      </c>
    </row>
    <row r="28" spans="1:13" x14ac:dyDescent="0.25">
      <c r="A28" s="88" t="s">
        <v>161</v>
      </c>
      <c r="B28" s="89" t="s">
        <v>170</v>
      </c>
      <c r="C28" s="89" t="b">
        <v>0</v>
      </c>
      <c r="D28" s="89" t="s">
        <v>167</v>
      </c>
      <c r="E28" s="89" t="s">
        <v>164</v>
      </c>
      <c r="F28" s="70" t="str">
        <f t="shared" si="3"/>
        <v>Itchen|Poultry|FALSE|900to1200|FreeDrain</v>
      </c>
      <c r="G28" s="90">
        <v>0.15</v>
      </c>
      <c r="H28" s="90">
        <v>82.28</v>
      </c>
      <c r="I28" s="70" t="str">
        <f t="shared" si="2"/>
        <v>Poultry|900to1200</v>
      </c>
      <c r="J28" s="90">
        <f>AVERAGE(G28,G59:G60)</f>
        <v>0.82666666666666666</v>
      </c>
      <c r="K28" s="90">
        <f>AVERAGE(H28,H59:H60)</f>
        <v>107.81</v>
      </c>
      <c r="L28" s="90"/>
      <c r="M28" s="76"/>
    </row>
    <row r="29" spans="1:13" x14ac:dyDescent="0.25">
      <c r="A29" s="88" t="s">
        <v>161</v>
      </c>
      <c r="B29" s="89" t="s">
        <v>170</v>
      </c>
      <c r="C29" s="89" t="b">
        <v>1</v>
      </c>
      <c r="D29" s="89" t="s">
        <v>167</v>
      </c>
      <c r="E29" s="89" t="s">
        <v>164</v>
      </c>
      <c r="F29" s="70" t="str">
        <f t="shared" si="3"/>
        <v>Itchen|Poultry|TRUE|900to1200|FreeDrain</v>
      </c>
      <c r="G29" s="90">
        <v>0.15</v>
      </c>
      <c r="H29" s="90">
        <v>82.57</v>
      </c>
      <c r="I29" s="70" t="str">
        <f t="shared" si="2"/>
        <v>Poultry|900to1200</v>
      </c>
      <c r="J29" s="90">
        <f>AVERAGE(G29,G59:G60)</f>
        <v>0.82666666666666666</v>
      </c>
      <c r="K29" s="90">
        <f>AVERAGE(H29,H59:H60)</f>
        <v>107.90666666666665</v>
      </c>
      <c r="L29" s="90"/>
      <c r="M29" s="76"/>
    </row>
    <row r="30" spans="1:13" x14ac:dyDescent="0.25">
      <c r="A30" s="88" t="s">
        <v>161</v>
      </c>
      <c r="B30" s="89" t="s">
        <v>171</v>
      </c>
      <c r="C30" s="89" t="b">
        <v>1</v>
      </c>
      <c r="D30" s="89" t="s">
        <v>163</v>
      </c>
      <c r="E30" s="89" t="s">
        <v>164</v>
      </c>
      <c r="F30" s="70" t="str">
        <f t="shared" si="3"/>
        <v>Itchen|Dairy|TRUE|700to900|FreeDrain</v>
      </c>
      <c r="G30" s="90">
        <v>0.12</v>
      </c>
      <c r="H30" s="90">
        <v>47.12</v>
      </c>
      <c r="I30" s="70" t="str">
        <f t="shared" si="2"/>
        <v>Dairy|700to900</v>
      </c>
      <c r="J30" s="90">
        <f>AVERAGE(G30:G31)</f>
        <v>0.67999999999999994</v>
      </c>
      <c r="K30" s="90">
        <f>AVERAGE(H30:H31)</f>
        <v>34.14</v>
      </c>
      <c r="L30" s="90">
        <f>AVERAGE(G30:G31)</f>
        <v>0.67999999999999994</v>
      </c>
      <c r="M30" s="76">
        <f>AVERAGE(H30:H31)</f>
        <v>34.14</v>
      </c>
    </row>
    <row r="31" spans="1:13" x14ac:dyDescent="0.25">
      <c r="A31" s="88" t="s">
        <v>161</v>
      </c>
      <c r="B31" s="89" t="s">
        <v>171</v>
      </c>
      <c r="C31" s="89" t="b">
        <v>1</v>
      </c>
      <c r="D31" s="89" t="s">
        <v>163</v>
      </c>
      <c r="E31" s="89" t="s">
        <v>166</v>
      </c>
      <c r="F31" s="70" t="str">
        <f t="shared" si="3"/>
        <v>Itchen|Dairy|TRUE|700to900|DrainedArGr</v>
      </c>
      <c r="G31" s="90">
        <v>1.24</v>
      </c>
      <c r="H31" s="90">
        <v>21.16</v>
      </c>
      <c r="I31" s="70" t="str">
        <f t="shared" si="2"/>
        <v>Dairy|700to900</v>
      </c>
      <c r="J31" s="90">
        <f>AVERAGE(G30:G31)</f>
        <v>0.67999999999999994</v>
      </c>
      <c r="K31" s="90">
        <f>AVERAGE(H30:H31)</f>
        <v>34.14</v>
      </c>
      <c r="L31" s="90"/>
      <c r="M31" s="76"/>
    </row>
    <row r="32" spans="1:13" x14ac:dyDescent="0.25">
      <c r="A32" s="88" t="s">
        <v>161</v>
      </c>
      <c r="B32" s="89" t="s">
        <v>172</v>
      </c>
      <c r="C32" s="89" t="b">
        <v>1</v>
      </c>
      <c r="D32" s="89" t="s">
        <v>163</v>
      </c>
      <c r="E32" s="89" t="s">
        <v>164</v>
      </c>
      <c r="F32" s="70" t="str">
        <f t="shared" si="3"/>
        <v>Itchen|Lowland|TRUE|700to900|FreeDrain</v>
      </c>
      <c r="G32" s="90">
        <v>0.06</v>
      </c>
      <c r="H32" s="90">
        <v>13.13</v>
      </c>
      <c r="I32" s="70" t="str">
        <f t="shared" si="2"/>
        <v>Lowland|700to900</v>
      </c>
      <c r="J32" s="90">
        <f>AVERAGE(G32:G34)</f>
        <v>0.27999999999999997</v>
      </c>
      <c r="K32" s="90">
        <f>AVERAGE(H32:H34)</f>
        <v>10.209999999999999</v>
      </c>
      <c r="L32" s="90">
        <f>AVERAGE(G32:G36)</f>
        <v>0.21200000000000002</v>
      </c>
      <c r="M32" s="76">
        <f>AVERAGE(H32:H36)</f>
        <v>11.756</v>
      </c>
    </row>
    <row r="33" spans="1:14" x14ac:dyDescent="0.25">
      <c r="A33" s="88" t="s">
        <v>161</v>
      </c>
      <c r="B33" s="89" t="s">
        <v>172</v>
      </c>
      <c r="C33" s="89" t="b">
        <v>1</v>
      </c>
      <c r="D33" s="89" t="s">
        <v>163</v>
      </c>
      <c r="E33" s="89" t="s">
        <v>165</v>
      </c>
      <c r="F33" s="70" t="str">
        <f t="shared" si="3"/>
        <v>Itchen|Lowland|TRUE|700to900|DrainedAr</v>
      </c>
      <c r="G33" s="90">
        <v>0.18</v>
      </c>
      <c r="H33" s="90">
        <v>10.16</v>
      </c>
      <c r="I33" s="70" t="str">
        <f t="shared" si="2"/>
        <v>Lowland|700to900</v>
      </c>
      <c r="J33" s="90">
        <f>AVERAGE(G32:G34)</f>
        <v>0.27999999999999997</v>
      </c>
      <c r="K33" s="90">
        <f>AVERAGE(H32:H34)</f>
        <v>10.209999999999999</v>
      </c>
      <c r="L33" s="90"/>
      <c r="M33" s="76"/>
    </row>
    <row r="34" spans="1:14" x14ac:dyDescent="0.25">
      <c r="A34" s="88" t="s">
        <v>161</v>
      </c>
      <c r="B34" s="89" t="s">
        <v>172</v>
      </c>
      <c r="C34" s="89" t="b">
        <v>1</v>
      </c>
      <c r="D34" s="89" t="s">
        <v>163</v>
      </c>
      <c r="E34" s="89" t="s">
        <v>166</v>
      </c>
      <c r="F34" s="70" t="str">
        <f t="shared" si="3"/>
        <v>Itchen|Lowland|TRUE|700to900|DrainedArGr</v>
      </c>
      <c r="G34" s="90">
        <v>0.6</v>
      </c>
      <c r="H34" s="90">
        <v>7.34</v>
      </c>
      <c r="I34" s="70" t="str">
        <f t="shared" si="2"/>
        <v>Lowland|700to900</v>
      </c>
      <c r="J34" s="90">
        <f>AVERAGE(G32:G34)</f>
        <v>0.27999999999999997</v>
      </c>
      <c r="K34" s="90">
        <f>AVERAGE(H32:H34)</f>
        <v>10.209999999999999</v>
      </c>
      <c r="L34" s="90"/>
      <c r="M34" s="76"/>
      <c r="N34" s="66"/>
    </row>
    <row r="35" spans="1:14" x14ac:dyDescent="0.25">
      <c r="A35" s="88" t="s">
        <v>161</v>
      </c>
      <c r="B35" s="89" t="s">
        <v>172</v>
      </c>
      <c r="C35" s="89" t="b">
        <v>0</v>
      </c>
      <c r="D35" s="89" t="s">
        <v>167</v>
      </c>
      <c r="E35" s="89" t="s">
        <v>164</v>
      </c>
      <c r="F35" s="70" t="str">
        <f t="shared" si="3"/>
        <v>Itchen|Lowland|FALSE|900to1200|FreeDrain</v>
      </c>
      <c r="G35" s="90">
        <v>0.11</v>
      </c>
      <c r="H35" s="90">
        <v>14.12</v>
      </c>
      <c r="I35" s="70" t="str">
        <f t="shared" si="2"/>
        <v>Lowland|900to1200</v>
      </c>
      <c r="J35" s="90">
        <f>AVERAGE(G35,G68:G69)</f>
        <v>0.49666666666666665</v>
      </c>
      <c r="K35" s="90">
        <f>AVERAGE(H35,H68:H69)</f>
        <v>12.299999999999999</v>
      </c>
      <c r="L35" s="90"/>
      <c r="M35" s="76"/>
    </row>
    <row r="36" spans="1:14" x14ac:dyDescent="0.25">
      <c r="A36" s="88" t="s">
        <v>161</v>
      </c>
      <c r="B36" s="89" t="s">
        <v>172</v>
      </c>
      <c r="C36" s="89" t="b">
        <v>1</v>
      </c>
      <c r="D36" s="89" t="s">
        <v>167</v>
      </c>
      <c r="E36" s="89" t="s">
        <v>164</v>
      </c>
      <c r="F36" s="70" t="str">
        <f t="shared" si="3"/>
        <v>Itchen|Lowland|TRUE|900to1200|FreeDrain</v>
      </c>
      <c r="G36" s="90">
        <v>0.11</v>
      </c>
      <c r="H36" s="90">
        <v>14.03</v>
      </c>
      <c r="I36" s="70" t="str">
        <f t="shared" si="2"/>
        <v>Lowland|900to1200</v>
      </c>
      <c r="J36" s="90">
        <f>AVERAGE(G36,G68:G69)</f>
        <v>0.49666666666666665</v>
      </c>
      <c r="K36" s="90">
        <f>AVERAGE(H36,H68:H69)</f>
        <v>12.270000000000001</v>
      </c>
      <c r="L36" s="90"/>
      <c r="M36" s="76"/>
    </row>
    <row r="37" spans="1:14" x14ac:dyDescent="0.25">
      <c r="A37" s="88" t="s">
        <v>161</v>
      </c>
      <c r="B37" s="89" t="s">
        <v>173</v>
      </c>
      <c r="C37" s="89" t="b">
        <v>1</v>
      </c>
      <c r="D37" s="89" t="s">
        <v>163</v>
      </c>
      <c r="E37" s="89" t="s">
        <v>164</v>
      </c>
      <c r="F37" s="70" t="str">
        <f t="shared" si="3"/>
        <v>Itchen|Mixed|TRUE|700to900|FreeDrain</v>
      </c>
      <c r="G37" s="90">
        <v>0.1</v>
      </c>
      <c r="H37" s="90">
        <v>26.32</v>
      </c>
      <c r="I37" s="70" t="str">
        <f t="shared" si="2"/>
        <v>Mixed|700to900</v>
      </c>
      <c r="J37" s="90">
        <f>AVERAGE(G37:G38)</f>
        <v>0.33499999999999996</v>
      </c>
      <c r="K37" s="90">
        <f>AVERAGE(H37:H38)</f>
        <v>23.259999999999998</v>
      </c>
      <c r="L37" s="90">
        <f>AVERAGE(G37:G39)</f>
        <v>0.27999999999999997</v>
      </c>
      <c r="M37" s="76">
        <f>AVERAGE(H37:H39)</f>
        <v>24.823333333333334</v>
      </c>
    </row>
    <row r="38" spans="1:14" x14ac:dyDescent="0.25">
      <c r="A38" s="88" t="s">
        <v>161</v>
      </c>
      <c r="B38" s="89" t="s">
        <v>173</v>
      </c>
      <c r="C38" s="89" t="b">
        <v>1</v>
      </c>
      <c r="D38" s="89" t="s">
        <v>163</v>
      </c>
      <c r="E38" s="89" t="s">
        <v>165</v>
      </c>
      <c r="F38" s="70" t="str">
        <f t="shared" si="3"/>
        <v>Itchen|Mixed|TRUE|700to900|DrainedAr</v>
      </c>
      <c r="G38" s="90">
        <v>0.56999999999999995</v>
      </c>
      <c r="H38" s="90">
        <v>20.2</v>
      </c>
      <c r="I38" s="70" t="str">
        <f t="shared" si="2"/>
        <v>Mixed|700to900</v>
      </c>
      <c r="J38" s="90">
        <f>AVERAGE(G37:G38)</f>
        <v>0.33499999999999996</v>
      </c>
      <c r="K38" s="90">
        <f>AVERAGE(H37:H38)</f>
        <v>23.259999999999998</v>
      </c>
      <c r="L38" s="90"/>
      <c r="M38" s="76"/>
    </row>
    <row r="39" spans="1:14" x14ac:dyDescent="0.25">
      <c r="A39" s="88" t="s">
        <v>161</v>
      </c>
      <c r="B39" s="89" t="s">
        <v>173</v>
      </c>
      <c r="C39" s="89" t="b">
        <v>1</v>
      </c>
      <c r="D39" s="89" t="s">
        <v>167</v>
      </c>
      <c r="E39" s="89" t="s">
        <v>164</v>
      </c>
      <c r="F39" s="70" t="str">
        <f t="shared" si="3"/>
        <v>Itchen|Mixed|TRUE|900to1200|FreeDrain</v>
      </c>
      <c r="G39" s="90">
        <v>0.17</v>
      </c>
      <c r="H39" s="90">
        <v>27.95</v>
      </c>
      <c r="I39" s="70" t="str">
        <f t="shared" si="2"/>
        <v>Mixed|900to1200</v>
      </c>
      <c r="J39" s="90">
        <f>AVERAGE(G39,G72:G73)</f>
        <v>0.79</v>
      </c>
      <c r="K39" s="90">
        <f>AVERAGE(H39,H72:H73)</f>
        <v>23.653333333333336</v>
      </c>
      <c r="L39" s="90"/>
      <c r="M39" s="76"/>
    </row>
    <row r="40" spans="1:14" x14ac:dyDescent="0.25">
      <c r="A40" s="88" t="s">
        <v>174</v>
      </c>
      <c r="B40" s="89" t="s">
        <v>162</v>
      </c>
      <c r="C40" s="89" t="b">
        <v>1</v>
      </c>
      <c r="D40" s="89" t="s">
        <v>163</v>
      </c>
      <c r="E40" s="89" t="s">
        <v>164</v>
      </c>
      <c r="F40" s="70" t="str">
        <f t="shared" ref="F40:F89" si="4">B40&amp;"|"&amp;C40&amp;"|"&amp;D40&amp;"|"&amp;E40</f>
        <v>Cereals|TRUE|700to900|FreeDrain</v>
      </c>
      <c r="G40" s="90">
        <v>0.13</v>
      </c>
      <c r="H40" s="90">
        <v>27.04</v>
      </c>
      <c r="I40" s="70" t="str">
        <f t="shared" si="2"/>
        <v>Cereals|700to900</v>
      </c>
      <c r="J40" s="90">
        <f>G40</f>
        <v>0.13</v>
      </c>
      <c r="K40" s="90">
        <f>H40</f>
        <v>27.04</v>
      </c>
      <c r="L40" s="90"/>
      <c r="M40" s="76"/>
    </row>
    <row r="41" spans="1:14" x14ac:dyDescent="0.25">
      <c r="A41" s="88" t="s">
        <v>174</v>
      </c>
      <c r="B41" s="89" t="s">
        <v>162</v>
      </c>
      <c r="C41" s="89" t="b">
        <v>1</v>
      </c>
      <c r="D41" s="89" t="s">
        <v>163</v>
      </c>
      <c r="E41" s="89" t="s">
        <v>165</v>
      </c>
      <c r="F41" s="70" t="str">
        <f t="shared" si="4"/>
        <v>Cereals|TRUE|700to900|DrainedAr</v>
      </c>
      <c r="G41" s="90">
        <v>0.62</v>
      </c>
      <c r="H41" s="90">
        <v>20.93</v>
      </c>
      <c r="I41" s="70" t="str">
        <f t="shared" si="2"/>
        <v>Cereals|700to900</v>
      </c>
      <c r="J41" s="90">
        <f t="shared" ref="J41:K89" si="5">G41</f>
        <v>0.62</v>
      </c>
      <c r="K41" s="90">
        <f t="shared" si="5"/>
        <v>20.93</v>
      </c>
      <c r="L41" s="90"/>
      <c r="M41" s="76"/>
    </row>
    <row r="42" spans="1:14" x14ac:dyDescent="0.25">
      <c r="A42" s="88" t="s">
        <v>174</v>
      </c>
      <c r="B42" s="89" t="s">
        <v>162</v>
      </c>
      <c r="C42" s="89" t="b">
        <v>1</v>
      </c>
      <c r="D42" s="89" t="s">
        <v>163</v>
      </c>
      <c r="E42" s="89" t="s">
        <v>166</v>
      </c>
      <c r="F42" s="70" t="str">
        <f t="shared" si="4"/>
        <v>Cereals|TRUE|700to900|DrainedArGr</v>
      </c>
      <c r="G42" s="90">
        <v>0.87</v>
      </c>
      <c r="H42" s="90">
        <v>19.59</v>
      </c>
      <c r="I42" s="70" t="str">
        <f t="shared" si="2"/>
        <v>Cereals|700to900</v>
      </c>
      <c r="J42" s="90">
        <f t="shared" si="5"/>
        <v>0.87</v>
      </c>
      <c r="K42" s="90">
        <f t="shared" si="5"/>
        <v>19.59</v>
      </c>
      <c r="L42" s="90"/>
      <c r="M42" s="76"/>
    </row>
    <row r="43" spans="1:14" x14ac:dyDescent="0.25">
      <c r="A43" s="88" t="s">
        <v>174</v>
      </c>
      <c r="B43" s="89" t="s">
        <v>162</v>
      </c>
      <c r="C43" s="89" t="b">
        <v>1</v>
      </c>
      <c r="D43" s="89" t="s">
        <v>167</v>
      </c>
      <c r="E43" s="89" t="s">
        <v>165</v>
      </c>
      <c r="F43" s="70" t="str">
        <f t="shared" si="4"/>
        <v>Cereals|TRUE|900to1200|DrainedAr</v>
      </c>
      <c r="G43" s="90">
        <v>1.18</v>
      </c>
      <c r="H43" s="90">
        <v>26.81</v>
      </c>
      <c r="I43" s="70" t="str">
        <f t="shared" si="2"/>
        <v>Cereals|900to1200</v>
      </c>
      <c r="J43" s="90">
        <f t="shared" si="5"/>
        <v>1.18</v>
      </c>
      <c r="K43" s="90">
        <f t="shared" si="5"/>
        <v>26.81</v>
      </c>
      <c r="L43" s="90"/>
      <c r="M43" s="76"/>
    </row>
    <row r="44" spans="1:14" x14ac:dyDescent="0.25">
      <c r="A44" s="88" t="s">
        <v>174</v>
      </c>
      <c r="B44" s="89" t="s">
        <v>168</v>
      </c>
      <c r="C44" s="89" t="b">
        <v>1</v>
      </c>
      <c r="D44" s="89" t="s">
        <v>163</v>
      </c>
      <c r="E44" s="89" t="s">
        <v>164</v>
      </c>
      <c r="F44" s="70" t="str">
        <f t="shared" si="4"/>
        <v>General|TRUE|700to900|FreeDrain</v>
      </c>
      <c r="G44" s="90">
        <v>0.1</v>
      </c>
      <c r="H44" s="90">
        <v>17.95</v>
      </c>
      <c r="I44" s="70" t="str">
        <f t="shared" si="2"/>
        <v>General|700to900</v>
      </c>
      <c r="J44" s="90">
        <f t="shared" si="5"/>
        <v>0.1</v>
      </c>
      <c r="K44" s="90">
        <f t="shared" si="5"/>
        <v>17.95</v>
      </c>
      <c r="L44" s="90"/>
      <c r="M44" s="76"/>
    </row>
    <row r="45" spans="1:14" x14ac:dyDescent="0.25">
      <c r="A45" s="88" t="s">
        <v>174</v>
      </c>
      <c r="B45" s="89" t="s">
        <v>168</v>
      </c>
      <c r="C45" s="89" t="b">
        <v>1</v>
      </c>
      <c r="D45" s="89" t="s">
        <v>163</v>
      </c>
      <c r="E45" s="89" t="s">
        <v>165</v>
      </c>
      <c r="F45" s="70" t="str">
        <f t="shared" si="4"/>
        <v>General|TRUE|700to900|DrainedAr</v>
      </c>
      <c r="G45" s="90">
        <v>0.4</v>
      </c>
      <c r="H45" s="90">
        <v>13.43</v>
      </c>
      <c r="I45" s="70" t="str">
        <f t="shared" si="2"/>
        <v>General|700to900</v>
      </c>
      <c r="J45" s="90">
        <f t="shared" si="5"/>
        <v>0.4</v>
      </c>
      <c r="K45" s="90">
        <f t="shared" si="5"/>
        <v>13.43</v>
      </c>
      <c r="L45" s="90"/>
      <c r="M45" s="76"/>
    </row>
    <row r="46" spans="1:14" x14ac:dyDescent="0.25">
      <c r="A46" s="88" t="s">
        <v>174</v>
      </c>
      <c r="B46" s="89" t="s">
        <v>168</v>
      </c>
      <c r="C46" s="89" t="b">
        <v>1</v>
      </c>
      <c r="D46" s="89" t="s">
        <v>163</v>
      </c>
      <c r="E46" s="89" t="s">
        <v>166</v>
      </c>
      <c r="F46" s="70" t="str">
        <f t="shared" si="4"/>
        <v>General|TRUE|700to900|DrainedArGr</v>
      </c>
      <c r="G46" s="90">
        <v>0.64</v>
      </c>
      <c r="H46" s="90">
        <v>12.05</v>
      </c>
      <c r="I46" s="70" t="str">
        <f t="shared" si="2"/>
        <v>General|700to900</v>
      </c>
      <c r="J46" s="90">
        <f t="shared" si="5"/>
        <v>0.64</v>
      </c>
      <c r="K46" s="90">
        <f t="shared" si="5"/>
        <v>12.05</v>
      </c>
      <c r="L46" s="90"/>
      <c r="M46" s="76"/>
    </row>
    <row r="47" spans="1:14" x14ac:dyDescent="0.25">
      <c r="A47" s="88" t="s">
        <v>174</v>
      </c>
      <c r="B47" s="89" t="s">
        <v>168</v>
      </c>
      <c r="C47" s="89" t="b">
        <v>1</v>
      </c>
      <c r="D47" s="89" t="s">
        <v>167</v>
      </c>
      <c r="E47" s="89" t="s">
        <v>165</v>
      </c>
      <c r="F47" s="70" t="str">
        <f t="shared" si="4"/>
        <v>General|TRUE|900to1200|DrainedAr</v>
      </c>
      <c r="G47" s="90">
        <v>0.76</v>
      </c>
      <c r="H47" s="90">
        <v>17.149999999999999</v>
      </c>
      <c r="I47" s="70" t="str">
        <f t="shared" si="2"/>
        <v>General|900to1200</v>
      </c>
      <c r="J47" s="90">
        <f t="shared" si="5"/>
        <v>0.76</v>
      </c>
      <c r="K47" s="90">
        <f t="shared" si="5"/>
        <v>17.149999999999999</v>
      </c>
      <c r="L47" s="90"/>
      <c r="M47" s="76"/>
    </row>
    <row r="48" spans="1:14" x14ac:dyDescent="0.25">
      <c r="A48" s="88" t="s">
        <v>174</v>
      </c>
      <c r="B48" s="89" t="s">
        <v>168</v>
      </c>
      <c r="C48" s="89" t="b">
        <v>1</v>
      </c>
      <c r="D48" s="89" t="s">
        <v>167</v>
      </c>
      <c r="E48" s="89" t="s">
        <v>166</v>
      </c>
      <c r="F48" s="70" t="str">
        <f t="shared" si="4"/>
        <v>General|TRUE|900to1200|DrainedArGr</v>
      </c>
      <c r="G48" s="90">
        <v>1.08</v>
      </c>
      <c r="H48" s="90">
        <v>14.09</v>
      </c>
      <c r="I48" s="70" t="str">
        <f t="shared" si="2"/>
        <v>General|900to1200</v>
      </c>
      <c r="J48" s="90">
        <f t="shared" si="5"/>
        <v>1.08</v>
      </c>
      <c r="K48" s="90">
        <f t="shared" si="5"/>
        <v>14.09</v>
      </c>
      <c r="L48" s="90"/>
      <c r="M48" s="76"/>
    </row>
    <row r="49" spans="1:13" x14ac:dyDescent="0.25">
      <c r="A49" s="88" t="s">
        <v>174</v>
      </c>
      <c r="B49" s="89" t="s">
        <v>169</v>
      </c>
      <c r="C49" s="89" t="b">
        <v>1</v>
      </c>
      <c r="D49" s="89" t="s">
        <v>163</v>
      </c>
      <c r="E49" s="89" t="s">
        <v>164</v>
      </c>
      <c r="F49" s="70" t="str">
        <f t="shared" si="4"/>
        <v>Horticulture|TRUE|700to900|FreeDrain</v>
      </c>
      <c r="G49" s="90">
        <v>0.11</v>
      </c>
      <c r="H49" s="90">
        <v>20.27</v>
      </c>
      <c r="I49" s="70" t="str">
        <f t="shared" si="2"/>
        <v>Horticulture|700to900</v>
      </c>
      <c r="J49" s="90">
        <f t="shared" si="5"/>
        <v>0.11</v>
      </c>
      <c r="K49" s="90">
        <f t="shared" si="5"/>
        <v>20.27</v>
      </c>
      <c r="L49" s="90"/>
      <c r="M49" s="76"/>
    </row>
    <row r="50" spans="1:13" x14ac:dyDescent="0.25">
      <c r="A50" s="88" t="s">
        <v>174</v>
      </c>
      <c r="B50" s="89" t="s">
        <v>169</v>
      </c>
      <c r="C50" s="89" t="b">
        <v>1</v>
      </c>
      <c r="D50" s="89" t="s">
        <v>163</v>
      </c>
      <c r="E50" s="89" t="s">
        <v>165</v>
      </c>
      <c r="F50" s="70" t="str">
        <f t="shared" si="4"/>
        <v>Horticulture|TRUE|700to900|DrainedAr</v>
      </c>
      <c r="G50" s="90">
        <v>0.52</v>
      </c>
      <c r="H50" s="90">
        <v>14.82</v>
      </c>
      <c r="I50" s="70" t="str">
        <f t="shared" si="2"/>
        <v>Horticulture|700to900</v>
      </c>
      <c r="J50" s="90">
        <f t="shared" si="5"/>
        <v>0.52</v>
      </c>
      <c r="K50" s="90">
        <f t="shared" si="5"/>
        <v>14.82</v>
      </c>
      <c r="L50" s="90"/>
      <c r="M50" s="76"/>
    </row>
    <row r="51" spans="1:13" x14ac:dyDescent="0.25">
      <c r="A51" s="88" t="s">
        <v>174</v>
      </c>
      <c r="B51" s="89" t="s">
        <v>169</v>
      </c>
      <c r="C51" s="89" t="b">
        <v>1</v>
      </c>
      <c r="D51" s="89" t="s">
        <v>163</v>
      </c>
      <c r="E51" s="89" t="s">
        <v>166</v>
      </c>
      <c r="F51" s="70" t="str">
        <f t="shared" si="4"/>
        <v>Horticulture|TRUE|700to900|DrainedArGr</v>
      </c>
      <c r="G51" s="90">
        <v>0.77</v>
      </c>
      <c r="H51" s="90">
        <v>13.18</v>
      </c>
      <c r="I51" s="70" t="str">
        <f t="shared" si="2"/>
        <v>Horticulture|700to900</v>
      </c>
      <c r="J51" s="90">
        <f t="shared" si="5"/>
        <v>0.77</v>
      </c>
      <c r="K51" s="90">
        <f t="shared" si="5"/>
        <v>13.18</v>
      </c>
      <c r="L51" s="90"/>
      <c r="M51" s="76"/>
    </row>
    <row r="52" spans="1:13" x14ac:dyDescent="0.25">
      <c r="A52" s="88" t="s">
        <v>174</v>
      </c>
      <c r="B52" s="89" t="s">
        <v>169</v>
      </c>
      <c r="C52" s="89" t="b">
        <v>1</v>
      </c>
      <c r="D52" s="89" t="s">
        <v>167</v>
      </c>
      <c r="E52" s="89" t="s">
        <v>165</v>
      </c>
      <c r="F52" s="70" t="str">
        <f t="shared" si="4"/>
        <v>Horticulture|TRUE|900to1200|DrainedAr</v>
      </c>
      <c r="G52" s="90">
        <v>0.98</v>
      </c>
      <c r="H52" s="90">
        <v>18.78</v>
      </c>
      <c r="I52" s="70" t="str">
        <f t="shared" si="2"/>
        <v>Horticulture|900to1200</v>
      </c>
      <c r="J52" s="90">
        <f t="shared" si="5"/>
        <v>0.98</v>
      </c>
      <c r="K52" s="90">
        <f t="shared" si="5"/>
        <v>18.78</v>
      </c>
      <c r="L52" s="90"/>
      <c r="M52" s="76"/>
    </row>
    <row r="53" spans="1:13" x14ac:dyDescent="0.25">
      <c r="A53" s="88" t="s">
        <v>174</v>
      </c>
      <c r="B53" s="89" t="s">
        <v>169</v>
      </c>
      <c r="C53" s="89" t="b">
        <v>1</v>
      </c>
      <c r="D53" s="89" t="s">
        <v>167</v>
      </c>
      <c r="E53" s="89" t="s">
        <v>166</v>
      </c>
      <c r="F53" s="70" t="str">
        <f t="shared" si="4"/>
        <v>Horticulture|TRUE|900to1200|DrainedArGr</v>
      </c>
      <c r="G53" s="90">
        <v>1.26</v>
      </c>
      <c r="H53" s="90">
        <v>15.11</v>
      </c>
      <c r="I53" s="70" t="str">
        <f t="shared" si="2"/>
        <v>Horticulture|900to1200</v>
      </c>
      <c r="J53" s="90">
        <f t="shared" si="5"/>
        <v>1.26</v>
      </c>
      <c r="K53" s="90">
        <f t="shared" si="5"/>
        <v>15.11</v>
      </c>
      <c r="L53" s="90"/>
      <c r="M53" s="76"/>
    </row>
    <row r="54" spans="1:13" x14ac:dyDescent="0.25">
      <c r="A54" s="88" t="s">
        <v>174</v>
      </c>
      <c r="B54" s="89" t="s">
        <v>175</v>
      </c>
      <c r="C54" s="89" t="b">
        <v>1</v>
      </c>
      <c r="D54" s="89" t="s">
        <v>163</v>
      </c>
      <c r="E54" s="89" t="s">
        <v>164</v>
      </c>
      <c r="F54" s="70" t="str">
        <f t="shared" si="4"/>
        <v>Pig|TRUE|700to900|FreeDrain</v>
      </c>
      <c r="G54" s="90">
        <v>0.14000000000000001</v>
      </c>
      <c r="H54" s="90">
        <v>85.33</v>
      </c>
      <c r="I54" s="70" t="str">
        <f t="shared" si="2"/>
        <v>Pig|700to900</v>
      </c>
      <c r="J54" s="90">
        <f t="shared" si="5"/>
        <v>0.14000000000000001</v>
      </c>
      <c r="K54" s="90">
        <f t="shared" si="5"/>
        <v>85.33</v>
      </c>
      <c r="L54" s="90">
        <f>AVERAGE(G54:G56)</f>
        <v>0.91000000000000014</v>
      </c>
      <c r="M54" s="76">
        <f>AVERAGE(H54:H56)</f>
        <v>61.013333333333328</v>
      </c>
    </row>
    <row r="55" spans="1:13" x14ac:dyDescent="0.25">
      <c r="A55" s="88" t="s">
        <v>174</v>
      </c>
      <c r="B55" s="89" t="s">
        <v>175</v>
      </c>
      <c r="C55" s="89" t="b">
        <v>1</v>
      </c>
      <c r="D55" s="89" t="s">
        <v>163</v>
      </c>
      <c r="E55" s="89" t="s">
        <v>166</v>
      </c>
      <c r="F55" s="70" t="str">
        <f t="shared" si="4"/>
        <v>Pig|TRUE|700to900|DrainedArGr</v>
      </c>
      <c r="G55" s="90">
        <v>1.02</v>
      </c>
      <c r="H55" s="90">
        <v>46.64</v>
      </c>
      <c r="I55" s="70" t="str">
        <f t="shared" si="2"/>
        <v>Pig|700to900</v>
      </c>
      <c r="J55" s="90">
        <f t="shared" si="5"/>
        <v>1.02</v>
      </c>
      <c r="K55" s="90">
        <f t="shared" si="5"/>
        <v>46.64</v>
      </c>
      <c r="L55" s="90"/>
      <c r="M55" s="76"/>
    </row>
    <row r="56" spans="1:13" x14ac:dyDescent="0.25">
      <c r="A56" s="88" t="s">
        <v>174</v>
      </c>
      <c r="B56" s="89" t="s">
        <v>175</v>
      </c>
      <c r="C56" s="89" t="b">
        <v>1</v>
      </c>
      <c r="D56" s="89" t="s">
        <v>167</v>
      </c>
      <c r="E56" s="89" t="s">
        <v>166</v>
      </c>
      <c r="F56" s="70" t="str">
        <f t="shared" si="4"/>
        <v>Pig|TRUE|900to1200|DrainedArGr</v>
      </c>
      <c r="G56" s="90">
        <v>1.57</v>
      </c>
      <c r="H56" s="90">
        <v>51.07</v>
      </c>
      <c r="I56" s="70" t="str">
        <f t="shared" si="2"/>
        <v>Pig|900to1200</v>
      </c>
      <c r="J56" s="90">
        <f t="shared" si="5"/>
        <v>1.57</v>
      </c>
      <c r="K56" s="90">
        <f t="shared" si="5"/>
        <v>51.07</v>
      </c>
      <c r="L56" s="90"/>
      <c r="M56" s="76"/>
    </row>
    <row r="57" spans="1:13" x14ac:dyDescent="0.25">
      <c r="A57" s="88" t="s">
        <v>174</v>
      </c>
      <c r="B57" s="89" t="s">
        <v>170</v>
      </c>
      <c r="C57" s="89" t="b">
        <v>1</v>
      </c>
      <c r="D57" s="89" t="s">
        <v>163</v>
      </c>
      <c r="E57" s="89" t="s">
        <v>164</v>
      </c>
      <c r="F57" s="70" t="str">
        <f t="shared" si="4"/>
        <v>Poultry|TRUE|700to900|FreeDrain</v>
      </c>
      <c r="G57" s="90">
        <v>0.19</v>
      </c>
      <c r="H57" s="90">
        <v>181.05</v>
      </c>
      <c r="I57" s="70" t="str">
        <f t="shared" si="2"/>
        <v>Poultry|700to900</v>
      </c>
      <c r="J57" s="90">
        <f t="shared" si="5"/>
        <v>0.19</v>
      </c>
      <c r="K57" s="90">
        <f t="shared" si="5"/>
        <v>181.05</v>
      </c>
      <c r="L57" s="90"/>
      <c r="M57" s="76"/>
    </row>
    <row r="58" spans="1:13" x14ac:dyDescent="0.25">
      <c r="A58" s="88" t="s">
        <v>174</v>
      </c>
      <c r="B58" s="89" t="s">
        <v>170</v>
      </c>
      <c r="C58" s="89" t="b">
        <v>1</v>
      </c>
      <c r="D58" s="89" t="s">
        <v>163</v>
      </c>
      <c r="E58" s="89" t="s">
        <v>166</v>
      </c>
      <c r="F58" s="70" t="str">
        <f t="shared" si="4"/>
        <v>Poultry|TRUE|700to900|DrainedArGr</v>
      </c>
      <c r="G58" s="90">
        <v>0.94</v>
      </c>
      <c r="H58" s="90">
        <v>92.3</v>
      </c>
      <c r="I58" s="70" t="str">
        <f t="shared" si="2"/>
        <v>Poultry|700to900</v>
      </c>
      <c r="J58" s="90">
        <f t="shared" si="5"/>
        <v>0.94</v>
      </c>
      <c r="K58" s="90">
        <f t="shared" si="5"/>
        <v>92.3</v>
      </c>
      <c r="L58" s="90"/>
      <c r="M58" s="76"/>
    </row>
    <row r="59" spans="1:13" x14ac:dyDescent="0.25">
      <c r="A59" s="88" t="s">
        <v>174</v>
      </c>
      <c r="B59" s="89" t="s">
        <v>170</v>
      </c>
      <c r="C59" s="89" t="b">
        <v>1</v>
      </c>
      <c r="D59" s="89" t="s">
        <v>167</v>
      </c>
      <c r="E59" s="89" t="s">
        <v>165</v>
      </c>
      <c r="F59" s="70" t="str">
        <f t="shared" si="4"/>
        <v>Poultry|TRUE|900to1200|DrainedAr</v>
      </c>
      <c r="G59" s="90">
        <v>0.83</v>
      </c>
      <c r="H59" s="90">
        <v>141.51</v>
      </c>
      <c r="I59" s="70" t="str">
        <f t="shared" si="2"/>
        <v>Poultry|900to1200</v>
      </c>
      <c r="J59" s="90">
        <f t="shared" si="5"/>
        <v>0.83</v>
      </c>
      <c r="K59" s="90">
        <f t="shared" si="5"/>
        <v>141.51</v>
      </c>
      <c r="L59" s="90"/>
      <c r="M59" s="76"/>
    </row>
    <row r="60" spans="1:13" x14ac:dyDescent="0.25">
      <c r="A60" s="88" t="s">
        <v>174</v>
      </c>
      <c r="B60" s="89" t="s">
        <v>170</v>
      </c>
      <c r="C60" s="89" t="b">
        <v>1</v>
      </c>
      <c r="D60" s="89" t="s">
        <v>167</v>
      </c>
      <c r="E60" s="89" t="s">
        <v>166</v>
      </c>
      <c r="F60" s="70" t="str">
        <f t="shared" si="4"/>
        <v>Poultry|TRUE|900to1200|DrainedArGr</v>
      </c>
      <c r="G60" s="90">
        <v>1.5</v>
      </c>
      <c r="H60" s="90">
        <v>99.64</v>
      </c>
      <c r="I60" s="70" t="str">
        <f t="shared" si="2"/>
        <v>Poultry|900to1200</v>
      </c>
      <c r="J60" s="90">
        <f t="shared" si="5"/>
        <v>1.5</v>
      </c>
      <c r="K60" s="90">
        <f t="shared" si="5"/>
        <v>99.64</v>
      </c>
      <c r="L60" s="90"/>
      <c r="M60" s="76"/>
    </row>
    <row r="61" spans="1:13" x14ac:dyDescent="0.25">
      <c r="A61" s="88" t="s">
        <v>174</v>
      </c>
      <c r="B61" s="89" t="s">
        <v>171</v>
      </c>
      <c r="C61" s="89" t="b">
        <v>1</v>
      </c>
      <c r="D61" s="89" t="s">
        <v>163</v>
      </c>
      <c r="E61" s="89" t="s">
        <v>164</v>
      </c>
      <c r="F61" s="70" t="str">
        <f t="shared" si="4"/>
        <v>Dairy|TRUE|700to900|FreeDrain</v>
      </c>
      <c r="G61" s="90">
        <v>0.15</v>
      </c>
      <c r="H61" s="90">
        <v>35.340000000000003</v>
      </c>
      <c r="I61" s="70" t="str">
        <f t="shared" si="2"/>
        <v>Dairy|700to900</v>
      </c>
      <c r="J61" s="90">
        <f t="shared" si="5"/>
        <v>0.15</v>
      </c>
      <c r="K61" s="90">
        <f t="shared" si="5"/>
        <v>35.340000000000003</v>
      </c>
      <c r="L61" s="90"/>
      <c r="M61" s="76"/>
    </row>
    <row r="62" spans="1:13" x14ac:dyDescent="0.25">
      <c r="A62" s="88" t="s">
        <v>174</v>
      </c>
      <c r="B62" s="89" t="s">
        <v>171</v>
      </c>
      <c r="C62" s="89" t="b">
        <v>1</v>
      </c>
      <c r="D62" s="89" t="s">
        <v>163</v>
      </c>
      <c r="E62" s="89" t="s">
        <v>166</v>
      </c>
      <c r="F62" s="70" t="str">
        <f t="shared" si="4"/>
        <v>Dairy|TRUE|700to900|DrainedArGr</v>
      </c>
      <c r="G62" s="90">
        <v>1.01</v>
      </c>
      <c r="H62" s="90">
        <v>16.37</v>
      </c>
      <c r="I62" s="70" t="str">
        <f t="shared" si="2"/>
        <v>Dairy|700to900</v>
      </c>
      <c r="J62" s="90">
        <f t="shared" si="5"/>
        <v>1.01</v>
      </c>
      <c r="K62" s="90">
        <f t="shared" si="5"/>
        <v>16.37</v>
      </c>
      <c r="L62" s="90"/>
      <c r="M62" s="76"/>
    </row>
    <row r="63" spans="1:13" x14ac:dyDescent="0.25">
      <c r="A63" s="88" t="s">
        <v>174</v>
      </c>
      <c r="B63" s="89" t="s">
        <v>172</v>
      </c>
      <c r="C63" s="89" t="b">
        <v>1</v>
      </c>
      <c r="D63" s="89" t="s">
        <v>163</v>
      </c>
      <c r="E63" s="89" t="s">
        <v>164</v>
      </c>
      <c r="F63" s="70" t="str">
        <f t="shared" si="4"/>
        <v>Lowland|TRUE|700to900|FreeDrain</v>
      </c>
      <c r="G63" s="90">
        <v>0.09</v>
      </c>
      <c r="H63" s="90">
        <v>13.36</v>
      </c>
      <c r="I63" s="70" t="str">
        <f t="shared" si="2"/>
        <v>Lowland|700to900</v>
      </c>
      <c r="J63" s="90">
        <f t="shared" si="5"/>
        <v>0.09</v>
      </c>
      <c r="K63" s="90">
        <f t="shared" si="5"/>
        <v>13.36</v>
      </c>
      <c r="L63" s="90"/>
      <c r="M63" s="76"/>
    </row>
    <row r="64" spans="1:13" x14ac:dyDescent="0.25">
      <c r="A64" s="88" t="s">
        <v>174</v>
      </c>
      <c r="B64" s="89" t="s">
        <v>172</v>
      </c>
      <c r="C64" s="89" t="b">
        <v>0</v>
      </c>
      <c r="D64" s="89" t="s">
        <v>163</v>
      </c>
      <c r="E64" s="89" t="s">
        <v>165</v>
      </c>
      <c r="F64" s="70" t="str">
        <f t="shared" si="4"/>
        <v>Lowland|FALSE|700to900|DrainedAr</v>
      </c>
      <c r="G64" s="90">
        <v>0.19</v>
      </c>
      <c r="H64" s="90">
        <v>10.51</v>
      </c>
      <c r="I64" s="70" t="str">
        <f t="shared" si="2"/>
        <v>Lowland|700to900</v>
      </c>
      <c r="J64" s="90">
        <f t="shared" si="5"/>
        <v>0.19</v>
      </c>
      <c r="K64" s="90">
        <f t="shared" si="5"/>
        <v>10.51</v>
      </c>
      <c r="L64" s="90"/>
      <c r="M64" s="76"/>
    </row>
    <row r="65" spans="1:13" x14ac:dyDescent="0.25">
      <c r="A65" s="88" t="s">
        <v>174</v>
      </c>
      <c r="B65" s="89" t="s">
        <v>172</v>
      </c>
      <c r="C65" s="89" t="b">
        <v>1</v>
      </c>
      <c r="D65" s="89" t="s">
        <v>163</v>
      </c>
      <c r="E65" s="89" t="s">
        <v>165</v>
      </c>
      <c r="F65" s="70" t="str">
        <f t="shared" si="4"/>
        <v>Lowland|TRUE|700to900|DrainedAr</v>
      </c>
      <c r="G65" s="90">
        <v>0.19</v>
      </c>
      <c r="H65" s="90">
        <v>10.44</v>
      </c>
      <c r="I65" s="70" t="str">
        <f t="shared" si="2"/>
        <v>Lowland|700to900</v>
      </c>
      <c r="J65" s="90">
        <f t="shared" si="5"/>
        <v>0.19</v>
      </c>
      <c r="K65" s="90">
        <f t="shared" si="5"/>
        <v>10.44</v>
      </c>
      <c r="L65" s="90"/>
      <c r="M65" s="76"/>
    </row>
    <row r="66" spans="1:13" x14ac:dyDescent="0.25">
      <c r="A66" s="88" t="s">
        <v>174</v>
      </c>
      <c r="B66" s="89" t="s">
        <v>172</v>
      </c>
      <c r="C66" s="89" t="b">
        <v>0</v>
      </c>
      <c r="D66" s="89" t="s">
        <v>163</v>
      </c>
      <c r="E66" s="89" t="s">
        <v>166</v>
      </c>
      <c r="F66" s="70" t="str">
        <f t="shared" si="4"/>
        <v>Lowland|FALSE|700to900|DrainedArGr</v>
      </c>
      <c r="G66" s="90">
        <v>0.62</v>
      </c>
      <c r="H66" s="90">
        <v>7.3</v>
      </c>
      <c r="I66" s="70" t="str">
        <f t="shared" si="2"/>
        <v>Lowland|700to900</v>
      </c>
      <c r="J66" s="90">
        <f t="shared" si="5"/>
        <v>0.62</v>
      </c>
      <c r="K66" s="90">
        <f t="shared" si="5"/>
        <v>7.3</v>
      </c>
      <c r="L66" s="90"/>
      <c r="M66" s="76"/>
    </row>
    <row r="67" spans="1:13" x14ac:dyDescent="0.25">
      <c r="A67" s="88" t="s">
        <v>174</v>
      </c>
      <c r="B67" s="89" t="s">
        <v>172</v>
      </c>
      <c r="C67" s="89" t="b">
        <v>1</v>
      </c>
      <c r="D67" s="89" t="s">
        <v>163</v>
      </c>
      <c r="E67" s="89" t="s">
        <v>166</v>
      </c>
      <c r="F67" s="70" t="str">
        <f t="shared" si="4"/>
        <v>Lowland|TRUE|700to900|DrainedArGr</v>
      </c>
      <c r="G67" s="90">
        <v>0.62</v>
      </c>
      <c r="H67" s="90">
        <v>7.28</v>
      </c>
      <c r="I67" s="70" t="str">
        <f t="shared" si="2"/>
        <v>Lowland|700to900</v>
      </c>
      <c r="J67" s="90">
        <f t="shared" si="5"/>
        <v>0.62</v>
      </c>
      <c r="K67" s="90">
        <f t="shared" si="5"/>
        <v>7.28</v>
      </c>
      <c r="L67" s="90"/>
      <c r="M67" s="76"/>
    </row>
    <row r="68" spans="1:13" x14ac:dyDescent="0.25">
      <c r="A68" s="88" t="s">
        <v>174</v>
      </c>
      <c r="B68" s="89" t="s">
        <v>172</v>
      </c>
      <c r="C68" s="89" t="b">
        <v>1</v>
      </c>
      <c r="D68" s="89" t="s">
        <v>167</v>
      </c>
      <c r="E68" s="89" t="s">
        <v>165</v>
      </c>
      <c r="F68" s="70" t="str">
        <f t="shared" si="4"/>
        <v>Lowland|TRUE|900to1200|DrainedAr</v>
      </c>
      <c r="G68" s="90">
        <v>0.34</v>
      </c>
      <c r="H68" s="90">
        <v>13.18</v>
      </c>
      <c r="I68" s="70" t="str">
        <f t="shared" si="2"/>
        <v>Lowland|900to1200</v>
      </c>
      <c r="J68" s="90">
        <f t="shared" si="5"/>
        <v>0.34</v>
      </c>
      <c r="K68" s="90">
        <f t="shared" si="5"/>
        <v>13.18</v>
      </c>
      <c r="L68" s="90"/>
      <c r="M68" s="76"/>
    </row>
    <row r="69" spans="1:13" x14ac:dyDescent="0.25">
      <c r="A69" s="88" t="s">
        <v>174</v>
      </c>
      <c r="B69" s="89" t="s">
        <v>172</v>
      </c>
      <c r="C69" s="89" t="b">
        <v>1</v>
      </c>
      <c r="D69" s="89" t="s">
        <v>167</v>
      </c>
      <c r="E69" s="89" t="s">
        <v>166</v>
      </c>
      <c r="F69" s="70" t="str">
        <f t="shared" si="4"/>
        <v>Lowland|TRUE|900to1200|DrainedArGr</v>
      </c>
      <c r="G69" s="90">
        <v>1.04</v>
      </c>
      <c r="H69" s="90">
        <v>9.6</v>
      </c>
      <c r="I69" s="70" t="str">
        <f t="shared" si="2"/>
        <v>Lowland|900to1200</v>
      </c>
      <c r="J69" s="90">
        <f t="shared" si="5"/>
        <v>1.04</v>
      </c>
      <c r="K69" s="90">
        <f t="shared" si="5"/>
        <v>9.6</v>
      </c>
      <c r="L69" s="90"/>
      <c r="M69" s="76"/>
    </row>
    <row r="70" spans="1:13" x14ac:dyDescent="0.25">
      <c r="A70" s="88" t="s">
        <v>174</v>
      </c>
      <c r="B70" s="89" t="s">
        <v>173</v>
      </c>
      <c r="C70" s="89" t="b">
        <v>1</v>
      </c>
      <c r="D70" s="89" t="s">
        <v>163</v>
      </c>
      <c r="E70" s="89" t="s">
        <v>164</v>
      </c>
      <c r="F70" s="70" t="str">
        <f t="shared" si="4"/>
        <v>Mixed|TRUE|700to900|FreeDrain</v>
      </c>
      <c r="G70" s="90">
        <v>0.12</v>
      </c>
      <c r="H70" s="90">
        <v>25.46</v>
      </c>
      <c r="I70" s="70" t="str">
        <f t="shared" si="2"/>
        <v>Mixed|700to900</v>
      </c>
      <c r="J70" s="90">
        <f t="shared" si="5"/>
        <v>0.12</v>
      </c>
      <c r="K70" s="90">
        <f t="shared" si="5"/>
        <v>25.46</v>
      </c>
      <c r="L70" s="90"/>
      <c r="M70" s="76"/>
    </row>
    <row r="71" spans="1:13" x14ac:dyDescent="0.25">
      <c r="A71" s="88" t="s">
        <v>174</v>
      </c>
      <c r="B71" s="89" t="s">
        <v>173</v>
      </c>
      <c r="C71" s="89" t="b">
        <v>1</v>
      </c>
      <c r="D71" s="89" t="s">
        <v>163</v>
      </c>
      <c r="E71" s="89" t="s">
        <v>166</v>
      </c>
      <c r="F71" s="70" t="str">
        <f t="shared" si="4"/>
        <v>Mixed|TRUE|700to900|DrainedArGr</v>
      </c>
      <c r="G71" s="90">
        <v>0.83</v>
      </c>
      <c r="H71" s="90">
        <v>15.87</v>
      </c>
      <c r="I71" s="70" t="str">
        <f t="shared" si="2"/>
        <v>Mixed|700to900</v>
      </c>
      <c r="J71" s="90">
        <f t="shared" si="5"/>
        <v>0.83</v>
      </c>
      <c r="K71" s="90">
        <f t="shared" si="5"/>
        <v>15.87</v>
      </c>
      <c r="L71" s="90"/>
      <c r="M71" s="76"/>
    </row>
    <row r="72" spans="1:13" x14ac:dyDescent="0.25">
      <c r="A72" s="88" t="s">
        <v>174</v>
      </c>
      <c r="B72" s="89" t="s">
        <v>173</v>
      </c>
      <c r="C72" s="89" t="b">
        <v>1</v>
      </c>
      <c r="D72" s="89" t="s">
        <v>167</v>
      </c>
      <c r="E72" s="89" t="s">
        <v>165</v>
      </c>
      <c r="F72" s="70" t="str">
        <f t="shared" si="4"/>
        <v>Mixed|TRUE|900to1200|DrainedAr</v>
      </c>
      <c r="G72" s="90">
        <v>0.84</v>
      </c>
      <c r="H72" s="90">
        <v>24.25</v>
      </c>
      <c r="I72" s="70" t="str">
        <f t="shared" si="2"/>
        <v>Mixed|900to1200</v>
      </c>
      <c r="J72" s="90">
        <f t="shared" si="5"/>
        <v>0.84</v>
      </c>
      <c r="K72" s="90">
        <f t="shared" si="5"/>
        <v>24.25</v>
      </c>
      <c r="L72" s="90"/>
      <c r="M72" s="76"/>
    </row>
    <row r="73" spans="1:13" x14ac:dyDescent="0.25">
      <c r="A73" s="88" t="s">
        <v>174</v>
      </c>
      <c r="B73" s="89" t="s">
        <v>173</v>
      </c>
      <c r="C73" s="89" t="b">
        <v>1</v>
      </c>
      <c r="D73" s="89" t="s">
        <v>167</v>
      </c>
      <c r="E73" s="89" t="s">
        <v>166</v>
      </c>
      <c r="F73" s="70" t="str">
        <f t="shared" si="4"/>
        <v>Mixed|TRUE|900to1200|DrainedArGr</v>
      </c>
      <c r="G73" s="90">
        <v>1.36</v>
      </c>
      <c r="H73" s="90">
        <v>18.760000000000002</v>
      </c>
      <c r="I73" s="70" t="str">
        <f t="shared" si="2"/>
        <v>Mixed|900to1200</v>
      </c>
      <c r="J73" s="90">
        <f t="shared" si="5"/>
        <v>1.36</v>
      </c>
      <c r="K73" s="90">
        <f t="shared" si="5"/>
        <v>18.760000000000002</v>
      </c>
      <c r="L73" s="90"/>
      <c r="M73" s="76"/>
    </row>
    <row r="74" spans="1:13" x14ac:dyDescent="0.25">
      <c r="A74" s="88" t="s">
        <v>176</v>
      </c>
      <c r="B74" s="89" t="s">
        <v>162</v>
      </c>
      <c r="C74" s="89" t="b">
        <v>1</v>
      </c>
      <c r="D74" s="89" t="s">
        <v>163</v>
      </c>
      <c r="E74" s="89" t="s">
        <v>164</v>
      </c>
      <c r="F74" s="70" t="str">
        <f t="shared" si="4"/>
        <v>Cereals|TRUE|700to900|FreeDrain</v>
      </c>
      <c r="G74" s="90">
        <v>0.09</v>
      </c>
      <c r="H74" s="90">
        <v>27.93</v>
      </c>
      <c r="I74" s="70" t="str">
        <f t="shared" si="2"/>
        <v>Cereals|700to900</v>
      </c>
      <c r="J74" s="90">
        <f t="shared" si="5"/>
        <v>0.09</v>
      </c>
      <c r="K74" s="90">
        <f t="shared" si="5"/>
        <v>27.93</v>
      </c>
      <c r="L74" s="90"/>
      <c r="M74" s="76"/>
    </row>
    <row r="75" spans="1:13" x14ac:dyDescent="0.25">
      <c r="A75" s="88" t="s">
        <v>176</v>
      </c>
      <c r="B75" s="89" t="s">
        <v>162</v>
      </c>
      <c r="C75" s="89" t="b">
        <v>1</v>
      </c>
      <c r="D75" s="89" t="s">
        <v>163</v>
      </c>
      <c r="E75" s="89" t="s">
        <v>165</v>
      </c>
      <c r="F75" s="70" t="str">
        <f t="shared" si="4"/>
        <v>Cereals|TRUE|700to900|DrainedAr</v>
      </c>
      <c r="G75" s="90">
        <v>0.67</v>
      </c>
      <c r="H75" s="90">
        <v>21.48</v>
      </c>
      <c r="I75" s="70" t="str">
        <f t="shared" si="2"/>
        <v>Cereals|700to900</v>
      </c>
      <c r="J75" s="90">
        <f>G75</f>
        <v>0.67</v>
      </c>
      <c r="K75" s="90">
        <f t="shared" si="5"/>
        <v>21.48</v>
      </c>
      <c r="L75" s="90"/>
      <c r="M75" s="76"/>
    </row>
    <row r="76" spans="1:13" x14ac:dyDescent="0.25">
      <c r="A76" s="88" t="s">
        <v>176</v>
      </c>
      <c r="B76" s="89" t="s">
        <v>162</v>
      </c>
      <c r="C76" s="89" t="b">
        <v>1</v>
      </c>
      <c r="D76" s="89" t="s">
        <v>167</v>
      </c>
      <c r="E76" s="89" t="s">
        <v>164</v>
      </c>
      <c r="F76" s="70" t="str">
        <f t="shared" si="4"/>
        <v>Cereals|TRUE|900to1200|FreeDrain</v>
      </c>
      <c r="G76" s="90">
        <v>0.15</v>
      </c>
      <c r="H76" s="90">
        <v>29.73</v>
      </c>
      <c r="I76" s="70" t="str">
        <f t="shared" si="2"/>
        <v>Cereals|900to1200</v>
      </c>
      <c r="J76" s="90">
        <f t="shared" si="5"/>
        <v>0.15</v>
      </c>
      <c r="K76" s="90">
        <f t="shared" si="5"/>
        <v>29.73</v>
      </c>
      <c r="L76" s="90"/>
      <c r="M76" s="76"/>
    </row>
    <row r="77" spans="1:13" x14ac:dyDescent="0.25">
      <c r="A77" s="88" t="s">
        <v>176</v>
      </c>
      <c r="B77" s="89" t="s">
        <v>168</v>
      </c>
      <c r="C77" s="89" t="b">
        <v>1</v>
      </c>
      <c r="D77" s="89" t="s">
        <v>163</v>
      </c>
      <c r="E77" s="89" t="s">
        <v>164</v>
      </c>
      <c r="F77" s="70" t="str">
        <f t="shared" si="4"/>
        <v>General|TRUE|700to900|FreeDrain</v>
      </c>
      <c r="G77" s="90">
        <v>7.0000000000000007E-2</v>
      </c>
      <c r="H77" s="90">
        <v>19.64</v>
      </c>
      <c r="I77" s="70" t="str">
        <f t="shared" si="2"/>
        <v>General|700to900</v>
      </c>
      <c r="J77" s="90">
        <f t="shared" si="5"/>
        <v>7.0000000000000007E-2</v>
      </c>
      <c r="K77" s="90">
        <f t="shared" si="5"/>
        <v>19.64</v>
      </c>
      <c r="L77" s="90"/>
      <c r="M77" s="76"/>
    </row>
    <row r="78" spans="1:13" x14ac:dyDescent="0.25">
      <c r="A78" s="88" t="s">
        <v>176</v>
      </c>
      <c r="B78" s="89" t="s">
        <v>168</v>
      </c>
      <c r="C78" s="89" t="b">
        <v>1</v>
      </c>
      <c r="D78" s="89" t="s">
        <v>163</v>
      </c>
      <c r="E78" s="89" t="s">
        <v>165</v>
      </c>
      <c r="F78" s="70" t="str">
        <f t="shared" si="4"/>
        <v>General|TRUE|700to900|DrainedAr</v>
      </c>
      <c r="G78" s="90">
        <v>0.45</v>
      </c>
      <c r="H78" s="90">
        <v>14.79</v>
      </c>
      <c r="I78" s="70" t="str">
        <f t="shared" si="2"/>
        <v>General|700to900</v>
      </c>
      <c r="J78" s="90">
        <f t="shared" si="5"/>
        <v>0.45</v>
      </c>
      <c r="K78" s="90">
        <f t="shared" si="5"/>
        <v>14.79</v>
      </c>
      <c r="L78" s="90"/>
      <c r="M78" s="76"/>
    </row>
    <row r="79" spans="1:13" x14ac:dyDescent="0.25">
      <c r="A79" s="88" t="s">
        <v>176</v>
      </c>
      <c r="B79" s="89" t="s">
        <v>168</v>
      </c>
      <c r="C79" s="89" t="b">
        <v>1</v>
      </c>
      <c r="D79" s="89" t="s">
        <v>167</v>
      </c>
      <c r="E79" s="89" t="s">
        <v>164</v>
      </c>
      <c r="F79" s="70" t="str">
        <f t="shared" si="4"/>
        <v>General|TRUE|900to1200|FreeDrain</v>
      </c>
      <c r="G79" s="90">
        <v>0.12</v>
      </c>
      <c r="H79" s="90">
        <v>21.1</v>
      </c>
      <c r="I79" s="70" t="str">
        <f t="shared" si="2"/>
        <v>General|900to1200</v>
      </c>
      <c r="J79" s="90">
        <f t="shared" si="5"/>
        <v>0.12</v>
      </c>
      <c r="K79" s="90">
        <f t="shared" si="5"/>
        <v>21.1</v>
      </c>
      <c r="L79" s="90"/>
      <c r="M79" s="76"/>
    </row>
    <row r="80" spans="1:13" x14ac:dyDescent="0.25">
      <c r="A80" s="88" t="s">
        <v>176</v>
      </c>
      <c r="B80" s="89" t="s">
        <v>177</v>
      </c>
      <c r="C80" s="89" t="b">
        <v>1</v>
      </c>
      <c r="D80" s="89" t="s">
        <v>163</v>
      </c>
      <c r="E80" s="89" t="s">
        <v>164</v>
      </c>
      <c r="F80" s="70" t="str">
        <f t="shared" si="4"/>
        <v>Hortic|TRUE|700to900|FreeDrain</v>
      </c>
      <c r="G80" s="90">
        <v>7.0000000000000007E-2</v>
      </c>
      <c r="H80" s="90">
        <v>21.02</v>
      </c>
      <c r="I80" s="70" t="str">
        <f t="shared" ref="I80:I89" si="6">B80&amp;"|"&amp;D80</f>
        <v>Hortic|700to900</v>
      </c>
      <c r="J80" s="90">
        <f t="shared" si="5"/>
        <v>7.0000000000000007E-2</v>
      </c>
      <c r="K80" s="90">
        <f t="shared" si="5"/>
        <v>21.02</v>
      </c>
      <c r="L80" s="90"/>
      <c r="M80" s="76"/>
    </row>
    <row r="81" spans="1:13" x14ac:dyDescent="0.25">
      <c r="A81" s="88" t="s">
        <v>176</v>
      </c>
      <c r="B81" s="89" t="s">
        <v>177</v>
      </c>
      <c r="C81" s="89" t="b">
        <v>1</v>
      </c>
      <c r="D81" s="89" t="s">
        <v>167</v>
      </c>
      <c r="E81" s="89" t="s">
        <v>164</v>
      </c>
      <c r="F81" s="70" t="str">
        <f t="shared" si="4"/>
        <v>Hortic|TRUE|900to1200|FreeDrain</v>
      </c>
      <c r="G81" s="90">
        <v>0.13</v>
      </c>
      <c r="H81" s="90">
        <v>22.64</v>
      </c>
      <c r="I81" s="70" t="str">
        <f t="shared" si="6"/>
        <v>Hortic|900to1200</v>
      </c>
      <c r="J81" s="90">
        <f t="shared" si="5"/>
        <v>0.13</v>
      </c>
      <c r="K81" s="90">
        <f t="shared" si="5"/>
        <v>22.64</v>
      </c>
      <c r="L81" s="90"/>
      <c r="M81" s="76"/>
    </row>
    <row r="82" spans="1:13" x14ac:dyDescent="0.25">
      <c r="A82" s="88" t="s">
        <v>176</v>
      </c>
      <c r="B82" s="89" t="s">
        <v>175</v>
      </c>
      <c r="C82" s="89" t="b">
        <v>1</v>
      </c>
      <c r="D82" s="89" t="s">
        <v>163</v>
      </c>
      <c r="E82" s="89" t="s">
        <v>164</v>
      </c>
      <c r="F82" s="70" t="str">
        <f t="shared" si="4"/>
        <v>Pig|TRUE|700to900|FreeDrain</v>
      </c>
      <c r="G82" s="90">
        <v>0.08</v>
      </c>
      <c r="H82" s="90">
        <v>63.94</v>
      </c>
      <c r="I82" s="70" t="str">
        <f t="shared" si="6"/>
        <v>Pig|700to900</v>
      </c>
      <c r="J82" s="90">
        <f t="shared" si="5"/>
        <v>0.08</v>
      </c>
      <c r="K82" s="90">
        <f t="shared" si="5"/>
        <v>63.94</v>
      </c>
      <c r="L82" s="90"/>
      <c r="M82" s="76"/>
    </row>
    <row r="83" spans="1:13" x14ac:dyDescent="0.25">
      <c r="A83" s="88" t="s">
        <v>176</v>
      </c>
      <c r="B83" s="89" t="s">
        <v>170</v>
      </c>
      <c r="C83" s="89" t="b">
        <v>1</v>
      </c>
      <c r="D83" s="89" t="s">
        <v>163</v>
      </c>
      <c r="E83" s="89" t="s">
        <v>164</v>
      </c>
      <c r="F83" s="70" t="str">
        <f t="shared" si="4"/>
        <v>Poultry|TRUE|700to900|FreeDrain</v>
      </c>
      <c r="G83" s="90">
        <v>7.0000000000000007E-2</v>
      </c>
      <c r="H83" s="90">
        <v>68.61</v>
      </c>
      <c r="I83" s="70" t="str">
        <f t="shared" si="6"/>
        <v>Poultry|700to900</v>
      </c>
      <c r="J83" s="90">
        <f t="shared" si="5"/>
        <v>7.0000000000000007E-2</v>
      </c>
      <c r="K83" s="90">
        <f t="shared" si="5"/>
        <v>68.61</v>
      </c>
      <c r="L83" s="90"/>
      <c r="M83" s="76"/>
    </row>
    <row r="84" spans="1:13" x14ac:dyDescent="0.25">
      <c r="A84" s="88" t="s">
        <v>176</v>
      </c>
      <c r="B84" s="89" t="s">
        <v>171</v>
      </c>
      <c r="C84" s="89" t="b">
        <v>1</v>
      </c>
      <c r="D84" s="89" t="s">
        <v>163</v>
      </c>
      <c r="E84" s="89" t="s">
        <v>164</v>
      </c>
      <c r="F84" s="70" t="str">
        <f t="shared" si="4"/>
        <v>Dairy|TRUE|700to900|FreeDrain</v>
      </c>
      <c r="G84" s="90">
        <v>0.08</v>
      </c>
      <c r="H84" s="90">
        <v>41.23</v>
      </c>
      <c r="I84" s="70" t="str">
        <f t="shared" si="6"/>
        <v>Dairy|700to900</v>
      </c>
      <c r="J84" s="90">
        <f t="shared" si="5"/>
        <v>0.08</v>
      </c>
      <c r="K84" s="90">
        <f t="shared" si="5"/>
        <v>41.23</v>
      </c>
      <c r="L84" s="90"/>
      <c r="M84" s="76"/>
    </row>
    <row r="85" spans="1:13" x14ac:dyDescent="0.25">
      <c r="A85" s="88" t="s">
        <v>176</v>
      </c>
      <c r="B85" s="89" t="s">
        <v>172</v>
      </c>
      <c r="C85" s="89" t="b">
        <v>1</v>
      </c>
      <c r="D85" s="89" t="s">
        <v>163</v>
      </c>
      <c r="E85" s="89" t="s">
        <v>164</v>
      </c>
      <c r="F85" s="70" t="str">
        <f t="shared" si="4"/>
        <v>Lowland|TRUE|700to900|FreeDrain</v>
      </c>
      <c r="G85" s="90">
        <v>0.05</v>
      </c>
      <c r="H85" s="90">
        <v>11.74</v>
      </c>
      <c r="I85" s="70" t="str">
        <f t="shared" si="6"/>
        <v>Lowland|700to900</v>
      </c>
      <c r="J85" s="90">
        <f t="shared" si="5"/>
        <v>0.05</v>
      </c>
      <c r="K85" s="90">
        <f t="shared" si="5"/>
        <v>11.74</v>
      </c>
      <c r="L85" s="90"/>
      <c r="M85" s="76"/>
    </row>
    <row r="86" spans="1:13" x14ac:dyDescent="0.25">
      <c r="A86" s="88" t="s">
        <v>176</v>
      </c>
      <c r="B86" s="89" t="s">
        <v>172</v>
      </c>
      <c r="C86" s="89" t="b">
        <v>1</v>
      </c>
      <c r="D86" s="89" t="s">
        <v>163</v>
      </c>
      <c r="E86" s="89" t="s">
        <v>165</v>
      </c>
      <c r="F86" s="70" t="str">
        <f t="shared" si="4"/>
        <v>Lowland|TRUE|700to900|DrainedAr</v>
      </c>
      <c r="G86" s="90">
        <v>0.15</v>
      </c>
      <c r="H86" s="90">
        <v>9.09</v>
      </c>
      <c r="I86" s="70" t="str">
        <f t="shared" si="6"/>
        <v>Lowland|700to900</v>
      </c>
      <c r="J86" s="90">
        <f t="shared" si="5"/>
        <v>0.15</v>
      </c>
      <c r="K86" s="90">
        <f t="shared" si="5"/>
        <v>9.09</v>
      </c>
      <c r="L86" s="90"/>
      <c r="M86" s="76"/>
    </row>
    <row r="87" spans="1:13" x14ac:dyDescent="0.25">
      <c r="A87" s="88" t="s">
        <v>176</v>
      </c>
      <c r="B87" s="89" t="s">
        <v>172</v>
      </c>
      <c r="C87" s="89" t="b">
        <v>1</v>
      </c>
      <c r="D87" s="89" t="s">
        <v>167</v>
      </c>
      <c r="E87" s="89" t="s">
        <v>164</v>
      </c>
      <c r="F87" s="70" t="str">
        <f t="shared" si="4"/>
        <v>Lowland|TRUE|900to1200|FreeDrain</v>
      </c>
      <c r="G87" s="90">
        <v>0.09</v>
      </c>
      <c r="H87" s="90">
        <v>12.65</v>
      </c>
      <c r="I87" s="70" t="str">
        <f t="shared" si="6"/>
        <v>Lowland|900to1200</v>
      </c>
      <c r="J87" s="90">
        <f t="shared" si="5"/>
        <v>0.09</v>
      </c>
      <c r="K87" s="90">
        <f t="shared" si="5"/>
        <v>12.65</v>
      </c>
      <c r="L87" s="90"/>
      <c r="M87" s="76"/>
    </row>
    <row r="88" spans="1:13" x14ac:dyDescent="0.25">
      <c r="A88" s="88" t="s">
        <v>176</v>
      </c>
      <c r="B88" s="89" t="s">
        <v>173</v>
      </c>
      <c r="C88" s="89" t="b">
        <v>1</v>
      </c>
      <c r="D88" s="89" t="s">
        <v>163</v>
      </c>
      <c r="E88" s="89" t="s">
        <v>164</v>
      </c>
      <c r="F88" s="70" t="str">
        <f t="shared" si="4"/>
        <v>Mixed|TRUE|700to900|FreeDrain</v>
      </c>
      <c r="G88" s="90">
        <v>0.08</v>
      </c>
      <c r="H88" s="90">
        <v>24.27</v>
      </c>
      <c r="I88" s="70" t="str">
        <f t="shared" si="6"/>
        <v>Mixed|700to900</v>
      </c>
      <c r="J88" s="90">
        <f t="shared" si="5"/>
        <v>0.08</v>
      </c>
      <c r="K88" s="90">
        <f t="shared" si="5"/>
        <v>24.27</v>
      </c>
      <c r="L88" s="90"/>
      <c r="M88" s="76"/>
    </row>
    <row r="89" spans="1:13" x14ac:dyDescent="0.25">
      <c r="A89" s="88" t="s">
        <v>176</v>
      </c>
      <c r="B89" s="89" t="s">
        <v>173</v>
      </c>
      <c r="C89" s="89" t="b">
        <v>1</v>
      </c>
      <c r="D89" s="89" t="s">
        <v>167</v>
      </c>
      <c r="E89" s="89" t="s">
        <v>164</v>
      </c>
      <c r="F89" s="70" t="str">
        <f t="shared" si="4"/>
        <v>Mixed|TRUE|900to1200|FreeDrain</v>
      </c>
      <c r="G89" s="90">
        <v>0.13</v>
      </c>
      <c r="H89" s="90">
        <v>25.84</v>
      </c>
      <c r="I89" s="70" t="str">
        <f t="shared" si="6"/>
        <v>Mixed|900to1200</v>
      </c>
      <c r="J89" s="90">
        <f t="shared" si="5"/>
        <v>0.13</v>
      </c>
      <c r="K89" s="90">
        <f t="shared" si="5"/>
        <v>25.84</v>
      </c>
      <c r="L89" s="90"/>
      <c r="M89" s="76"/>
    </row>
    <row r="90" spans="1:13" x14ac:dyDescent="0.25">
      <c r="A90" s="88" t="s">
        <v>178</v>
      </c>
      <c r="B90" s="89" t="s">
        <v>178</v>
      </c>
      <c r="C90" s="89" t="s">
        <v>178</v>
      </c>
      <c r="D90" s="89" t="s">
        <v>178</v>
      </c>
      <c r="E90" s="71" t="s">
        <v>179</v>
      </c>
      <c r="F90" s="70" t="str">
        <f>"|"&amp;"|"&amp;"|"&amp;E90</f>
        <v>|||Greenspace</v>
      </c>
      <c r="G90" s="91">
        <v>0.02</v>
      </c>
      <c r="H90" s="90">
        <v>3</v>
      </c>
      <c r="I90" s="70"/>
      <c r="J90" s="70"/>
      <c r="K90" s="70"/>
      <c r="L90" s="70"/>
      <c r="M90" s="80"/>
    </row>
    <row r="91" spans="1:13" x14ac:dyDescent="0.25">
      <c r="A91" s="88" t="s">
        <v>178</v>
      </c>
      <c r="B91" s="89" t="s">
        <v>178</v>
      </c>
      <c r="C91" s="89" t="s">
        <v>178</v>
      </c>
      <c r="D91" s="89" t="s">
        <v>178</v>
      </c>
      <c r="E91" s="71" t="s">
        <v>180</v>
      </c>
      <c r="F91" s="70" t="str">
        <f>"|"&amp;"|"&amp;"|"&amp;E91</f>
        <v>|||Community food growing</v>
      </c>
      <c r="G91" s="84">
        <f>IFERROR(VLOOKUP((VLOOKUP(Nutrients_from_current_land_use!$B$5,Value_look_up_tables!$A$127:$B$127,2,FALSE)&amp;"|"&amp;"General"&amp;"|"&amp;"FALSE"&amp;"|"&amp;VLOOKUP(Nutrients_from_current_land_use!$B$7,Value_look_up_tables!$A$101:$C$123,3,FALSE)&amp;"|"&amp;"FreeDrain"),$F$16:$H$89,2,FALSE), IFERROR(VLOOKUP("General"&amp;"|"&amp;VLOOKUP(Nutrients_from_current_land_use!$B$7,Value_look_up_tables!$A$101:$C$123,3,FALSE),$I$16:$M$89,2,FALSE),VLOOKUP("General",$B$16:$M$89,11,FALSE)))</f>
        <v>0.43333333333333329</v>
      </c>
      <c r="H91" s="84">
        <f>IFERROR(VLOOKUP((VLOOKUP(Nutrients_from_current_land_use!$B$5,$A$127:$B$127,2,FALSE)&amp;"|"&amp;"General"&amp;"|"&amp;"FALSE"&amp;"|"&amp;VLOOKUP(Nutrients_from_current_land_use!$B$7,$A$101:$C$123,3,FALSE)&amp;"|"&amp;"FreeDrain"),$F$16:$H$89,3,FALSE), IFERROR(VLOOKUP("General"&amp;"|"&amp;VLOOKUP(Nutrients_from_current_land_use!$B$7,$A$101:$C$123,3,FALSE),$I$16:$M$89,3,FALSE),VLOOKUP("General",$B$16:$M$89,12,FALSE)))</f>
        <v>17.546666666666663</v>
      </c>
      <c r="I91" s="70"/>
      <c r="J91" s="70"/>
      <c r="K91" s="70"/>
      <c r="L91" s="70"/>
      <c r="M91" s="80"/>
    </row>
    <row r="92" spans="1:13" x14ac:dyDescent="0.25">
      <c r="A92" s="88" t="s">
        <v>178</v>
      </c>
      <c r="B92" s="89" t="s">
        <v>178</v>
      </c>
      <c r="C92" s="89" t="s">
        <v>178</v>
      </c>
      <c r="D92" s="89" t="s">
        <v>178</v>
      </c>
      <c r="E92" s="71" t="s">
        <v>181</v>
      </c>
      <c r="F92" s="70" t="str">
        <f>"|"&amp;"|"&amp;"|"&amp;E92</f>
        <v>|||Woodland</v>
      </c>
      <c r="G92" s="91">
        <v>0.02</v>
      </c>
      <c r="H92" s="90">
        <v>3</v>
      </c>
      <c r="I92" s="70"/>
      <c r="J92" s="70"/>
      <c r="K92" s="70"/>
      <c r="L92" s="70"/>
      <c r="M92" s="80"/>
    </row>
    <row r="93" spans="1:13" x14ac:dyDescent="0.25">
      <c r="A93" s="88" t="s">
        <v>178</v>
      </c>
      <c r="B93" s="89" t="s">
        <v>178</v>
      </c>
      <c r="C93" s="89" t="s">
        <v>178</v>
      </c>
      <c r="D93" s="89" t="s">
        <v>178</v>
      </c>
      <c r="E93" s="71" t="s">
        <v>182</v>
      </c>
      <c r="F93" s="70" t="str">
        <f>"|"&amp;"|"&amp;"|"&amp;E93</f>
        <v>|||Shrub</v>
      </c>
      <c r="G93" s="91">
        <v>0.02</v>
      </c>
      <c r="H93" s="90">
        <v>3</v>
      </c>
      <c r="I93" s="70"/>
      <c r="J93" s="70"/>
      <c r="K93" s="70"/>
      <c r="L93" s="70"/>
      <c r="M93" s="80"/>
    </row>
    <row r="94" spans="1:13" x14ac:dyDescent="0.25">
      <c r="A94" s="88" t="s">
        <v>178</v>
      </c>
      <c r="B94" s="89" t="s">
        <v>178</v>
      </c>
      <c r="C94" s="89" t="s">
        <v>178</v>
      </c>
      <c r="D94" s="89" t="s">
        <v>178</v>
      </c>
      <c r="E94" s="71" t="s">
        <v>183</v>
      </c>
      <c r="F94" s="70" t="str">
        <f>"|"&amp;"|"&amp;"|"&amp;E94</f>
        <v>|||Water</v>
      </c>
      <c r="G94" s="91">
        <v>0</v>
      </c>
      <c r="H94" s="90">
        <v>0</v>
      </c>
      <c r="I94" s="70"/>
      <c r="J94" s="70"/>
      <c r="K94" s="70"/>
      <c r="L94" s="70"/>
      <c r="M94" s="80"/>
    </row>
    <row r="95" spans="1:13" x14ac:dyDescent="0.25">
      <c r="A95" s="88" t="s">
        <v>178</v>
      </c>
      <c r="B95" s="89" t="s">
        <v>178</v>
      </c>
      <c r="C95" s="89" t="s">
        <v>178</v>
      </c>
      <c r="D95" s="89" t="s">
        <v>178</v>
      </c>
      <c r="E95" s="70" t="s">
        <v>184</v>
      </c>
      <c r="F95" s="70" t="str">
        <f t="shared" ref="F95:F97" si="7">"|"&amp;"|"&amp;"|"&amp;E95</f>
        <v>|||Residential urban land</v>
      </c>
      <c r="G95" s="90">
        <f>VLOOKUP(Nutrients_from_current_land_use!B7,Value_look_up_tables!A101:F123,6,FALSE)</f>
        <v>1.5512920268999992</v>
      </c>
      <c r="H95" s="90">
        <f>VLOOKUP(Nutrients_from_current_land_use!B7,Value_look_up_tables!A101:I123,9,FALSE)</f>
        <v>14.445715171499996</v>
      </c>
      <c r="I95" s="70"/>
      <c r="J95" s="70"/>
      <c r="K95" s="70"/>
      <c r="L95" s="70"/>
      <c r="M95" s="80"/>
    </row>
    <row r="96" spans="1:13" ht="30" x14ac:dyDescent="0.25">
      <c r="A96" s="88" t="s">
        <v>178</v>
      </c>
      <c r="B96" s="89" t="s">
        <v>178</v>
      </c>
      <c r="C96" s="89" t="s">
        <v>178</v>
      </c>
      <c r="D96" s="89" t="s">
        <v>178</v>
      </c>
      <c r="E96" s="70" t="s">
        <v>185</v>
      </c>
      <c r="F96" s="70" t="str">
        <f t="shared" si="7"/>
        <v>|||Commercial/industrial urban land</v>
      </c>
      <c r="G96" s="90">
        <f>VLOOKUP(Nutrients_from_current_land_use!B7,Value_look_up_tables!A101:G123,7,FALSE)</f>
        <v>1.1350917269999994</v>
      </c>
      <c r="H96" s="90">
        <f>VLOOKUP(Nutrients_from_current_land_use!B7,Value_look_up_tables!A101:K123,10,FALSE)</f>
        <v>7.7043814247999975</v>
      </c>
      <c r="I96" s="70"/>
      <c r="J96" s="70"/>
      <c r="K96" s="70"/>
      <c r="L96" s="70"/>
      <c r="M96" s="80"/>
    </row>
    <row r="97" spans="1:13" x14ac:dyDescent="0.25">
      <c r="A97" s="92" t="s">
        <v>178</v>
      </c>
      <c r="B97" s="93" t="s">
        <v>178</v>
      </c>
      <c r="C97" s="93" t="s">
        <v>178</v>
      </c>
      <c r="D97" s="93" t="s">
        <v>178</v>
      </c>
      <c r="E97" s="82" t="s">
        <v>186</v>
      </c>
      <c r="F97" s="82" t="str">
        <f t="shared" si="7"/>
        <v>|||Open urban land</v>
      </c>
      <c r="G97" s="94">
        <f>VLOOKUP(Nutrients_from_current_land_use!B7,Value_look_up_tables!A101:H123,8,FALSE)</f>
        <v>0.83240059979999959</v>
      </c>
      <c r="H97" s="94">
        <f>VLOOKUP(Nutrients_from_current_land_use!B7,Value_look_up_tables!A101:N123,11,FALSE)</f>
        <v>8.5153689431999986</v>
      </c>
      <c r="I97" s="82"/>
      <c r="J97" s="82"/>
      <c r="K97" s="82"/>
      <c r="L97" s="82"/>
      <c r="M97" s="83"/>
    </row>
    <row r="98" spans="1:13" x14ac:dyDescent="0.25">
      <c r="A98" s="66"/>
      <c r="B98" s="66"/>
      <c r="C98" s="66"/>
      <c r="D98" s="66"/>
      <c r="E98" s="66"/>
      <c r="F98" s="66"/>
      <c r="G98" s="67"/>
      <c r="H98" s="67"/>
      <c r="I98" s="66"/>
      <c r="J98" s="66"/>
      <c r="K98" s="66"/>
      <c r="L98" s="66"/>
      <c r="M98" s="66"/>
    </row>
    <row r="99" spans="1:13" ht="43.5" customHeight="1" x14ac:dyDescent="0.25">
      <c r="A99" s="4" t="s">
        <v>187</v>
      </c>
      <c r="B99" s="66"/>
      <c r="C99" s="66"/>
      <c r="D99" s="66"/>
      <c r="E99" s="66"/>
      <c r="F99" s="66"/>
      <c r="G99" s="67"/>
      <c r="H99" s="67"/>
      <c r="I99" s="66"/>
      <c r="J99" s="66"/>
      <c r="K99" s="66"/>
      <c r="L99" s="66"/>
      <c r="M99" s="66"/>
    </row>
    <row r="100" spans="1:13" ht="62.4" x14ac:dyDescent="0.25">
      <c r="A100" s="14" t="s">
        <v>188</v>
      </c>
      <c r="B100" s="15" t="s">
        <v>189</v>
      </c>
      <c r="C100" s="15" t="s">
        <v>190</v>
      </c>
      <c r="D100" s="15" t="s">
        <v>191</v>
      </c>
      <c r="E100" s="15" t="s">
        <v>192</v>
      </c>
      <c r="F100" s="15" t="s">
        <v>193</v>
      </c>
      <c r="G100" s="15" t="s">
        <v>194</v>
      </c>
      <c r="H100" s="15" t="s">
        <v>195</v>
      </c>
      <c r="I100" s="15" t="s">
        <v>196</v>
      </c>
      <c r="J100" s="15" t="s">
        <v>197</v>
      </c>
      <c r="K100" s="25" t="s">
        <v>198</v>
      </c>
      <c r="L100" s="10"/>
      <c r="M100" s="10"/>
    </row>
    <row r="101" spans="1:13" x14ac:dyDescent="0.25">
      <c r="A101" s="26" t="s">
        <v>199</v>
      </c>
      <c r="B101" s="84">
        <v>516.5</v>
      </c>
      <c r="C101" s="3" t="s">
        <v>200</v>
      </c>
      <c r="D101" s="84">
        <v>47.366326420209788</v>
      </c>
      <c r="E101" s="84">
        <v>63.946326420209786</v>
      </c>
      <c r="F101" s="84">
        <v>1.0030530114375726</v>
      </c>
      <c r="G101" s="84">
        <v>0.73394122788115068</v>
      </c>
      <c r="H101" s="84">
        <v>0.5382235671128438</v>
      </c>
      <c r="I101" s="84">
        <v>9.4130591148709328</v>
      </c>
      <c r="J101" s="84">
        <v>5.0202981945978298</v>
      </c>
      <c r="K101" s="37">
        <v>5.5487506361344439</v>
      </c>
      <c r="L101" s="28"/>
      <c r="M101" s="28"/>
    </row>
    <row r="102" spans="1:13" x14ac:dyDescent="0.25">
      <c r="A102" s="26" t="s">
        <v>201</v>
      </c>
      <c r="B102" s="84">
        <v>537.54999999999995</v>
      </c>
      <c r="C102" s="3" t="s">
        <v>200</v>
      </c>
      <c r="D102" s="84">
        <v>47.605509573313697</v>
      </c>
      <c r="E102" s="84">
        <v>64.185509573313695</v>
      </c>
      <c r="F102" s="84">
        <v>1.049204008516526</v>
      </c>
      <c r="G102" s="84">
        <v>0.76771025013404326</v>
      </c>
      <c r="H102" s="84">
        <v>0.56298751676496517</v>
      </c>
      <c r="I102" s="84">
        <v>9.8333323912734105</v>
      </c>
      <c r="J102" s="84">
        <v>5.2444439420124853</v>
      </c>
      <c r="K102" s="37">
        <v>5.7964906727506413</v>
      </c>
      <c r="L102" s="28"/>
      <c r="M102" s="28"/>
    </row>
    <row r="103" spans="1:13" x14ac:dyDescent="0.25">
      <c r="A103" s="26" t="s">
        <v>202</v>
      </c>
      <c r="B103" s="84">
        <v>562.54999999999995</v>
      </c>
      <c r="C103" s="3" t="s">
        <v>200</v>
      </c>
      <c r="D103" s="84">
        <v>47.8624816470968</v>
      </c>
      <c r="E103" s="84">
        <v>64.442481647096798</v>
      </c>
      <c r="F103" s="84">
        <v>1.1039266010735462</v>
      </c>
      <c r="G103" s="84">
        <v>0.80775117151722908</v>
      </c>
      <c r="H103" s="84">
        <v>0.59235085911263463</v>
      </c>
      <c r="I103" s="84">
        <v>10.331853644413675</v>
      </c>
      <c r="J103" s="84">
        <v>5.5103219436872939</v>
      </c>
      <c r="K103" s="37">
        <v>6.0903558324964822</v>
      </c>
      <c r="L103" s="28"/>
      <c r="M103" s="28"/>
    </row>
    <row r="104" spans="1:13" x14ac:dyDescent="0.25">
      <c r="A104" s="26" t="s">
        <v>203</v>
      </c>
      <c r="B104" s="84">
        <v>587.54999999999995</v>
      </c>
      <c r="C104" s="3" t="s">
        <v>200</v>
      </c>
      <c r="D104" s="84">
        <v>48.089720428979902</v>
      </c>
      <c r="E104" s="84">
        <v>64.6697204289799</v>
      </c>
      <c r="F104" s="84">
        <v>1.1584597247599329</v>
      </c>
      <c r="G104" s="84">
        <v>0.84765345714141427</v>
      </c>
      <c r="H104" s="84">
        <v>0.62161253523703719</v>
      </c>
      <c r="I104" s="84">
        <v>10.829057857843434</v>
      </c>
      <c r="J104" s="84">
        <v>5.775497524183165</v>
      </c>
      <c r="K104" s="37">
        <v>6.3834446319919191</v>
      </c>
      <c r="L104" s="28"/>
      <c r="M104" s="28"/>
    </row>
    <row r="105" spans="1:13" x14ac:dyDescent="0.25">
      <c r="A105" s="26" t="s">
        <v>204</v>
      </c>
      <c r="B105" s="84">
        <v>612.54999999999995</v>
      </c>
      <c r="C105" s="3" t="s">
        <v>205</v>
      </c>
      <c r="D105" s="84">
        <v>48.286892468962989</v>
      </c>
      <c r="E105" s="84">
        <v>64.866892468962988</v>
      </c>
      <c r="F105" s="84">
        <v>1.2127035752563942</v>
      </c>
      <c r="G105" s="84">
        <v>0.88734407945589822</v>
      </c>
      <c r="H105" s="84">
        <v>0.650718991600992</v>
      </c>
      <c r="I105" s="84">
        <v>11.324251269831036</v>
      </c>
      <c r="J105" s="84">
        <v>6.0396006772432189</v>
      </c>
      <c r="K105" s="37">
        <v>6.6753481169530309</v>
      </c>
      <c r="L105" s="28"/>
      <c r="M105" s="28"/>
    </row>
    <row r="106" spans="1:13" x14ac:dyDescent="0.25">
      <c r="A106" s="26" t="s">
        <v>206</v>
      </c>
      <c r="B106" s="84">
        <v>637.54999999999995</v>
      </c>
      <c r="C106" s="3" t="s">
        <v>205</v>
      </c>
      <c r="D106" s="84">
        <v>48.453664317046091</v>
      </c>
      <c r="E106" s="84">
        <v>65.033664317046089</v>
      </c>
      <c r="F106" s="84">
        <v>1.2665569810986419</v>
      </c>
      <c r="G106" s="84">
        <v>0.92674901055998193</v>
      </c>
      <c r="H106" s="84">
        <v>0.67961594107732015</v>
      </c>
      <c r="I106" s="84">
        <v>11.816730615319829</v>
      </c>
      <c r="J106" s="84">
        <v>6.302256328170575</v>
      </c>
      <c r="K106" s="37">
        <v>6.9656517311358979</v>
      </c>
      <c r="L106" s="28"/>
      <c r="M106" s="28"/>
    </row>
    <row r="107" spans="1:13" x14ac:dyDescent="0.25">
      <c r="A107" s="26" t="s">
        <v>207</v>
      </c>
      <c r="B107" s="84">
        <v>662.55</v>
      </c>
      <c r="C107" s="3" t="s">
        <v>205</v>
      </c>
      <c r="D107" s="84">
        <v>48.589702523229192</v>
      </c>
      <c r="E107" s="84">
        <v>65.169702523229191</v>
      </c>
      <c r="F107" s="84">
        <v>1.3199174036773855</v>
      </c>
      <c r="G107" s="84">
        <v>0.96579322220296504</v>
      </c>
      <c r="H107" s="84">
        <v>0.70824836294884108</v>
      </c>
      <c r="I107" s="84">
        <v>12.305783125928167</v>
      </c>
      <c r="J107" s="84">
        <v>6.5630843338283551</v>
      </c>
      <c r="K107" s="37">
        <v>7.2539353163366025</v>
      </c>
      <c r="L107" s="28"/>
      <c r="M107" s="28"/>
    </row>
    <row r="108" spans="1:13" x14ac:dyDescent="0.25">
      <c r="A108" s="26" t="s">
        <v>208</v>
      </c>
      <c r="B108" s="84">
        <v>687.55</v>
      </c>
      <c r="C108" s="3" t="s">
        <v>205</v>
      </c>
      <c r="D108" s="84">
        <v>48.694673637512295</v>
      </c>
      <c r="E108" s="84">
        <v>65.274673637512294</v>
      </c>
      <c r="F108" s="84">
        <v>1.3726809372383346</v>
      </c>
      <c r="G108" s="84">
        <v>1.0044006857841474</v>
      </c>
      <c r="H108" s="84">
        <v>0.73656050290837471</v>
      </c>
      <c r="I108" s="84">
        <v>12.790686529949399</v>
      </c>
      <c r="J108" s="84">
        <v>6.82169948263968</v>
      </c>
      <c r="K108" s="37">
        <v>7.5397731123912237</v>
      </c>
      <c r="L108" s="28"/>
      <c r="M108" s="28"/>
    </row>
    <row r="109" spans="1:13" x14ac:dyDescent="0.25">
      <c r="A109" s="26" t="s">
        <v>209</v>
      </c>
      <c r="B109" s="84">
        <v>725.05</v>
      </c>
      <c r="C109" s="3" t="s">
        <v>163</v>
      </c>
      <c r="D109" s="84">
        <v>48.793150089749446</v>
      </c>
      <c r="E109" s="84">
        <v>65.373150089749444</v>
      </c>
      <c r="F109" s="84">
        <v>1.4504764123754863</v>
      </c>
      <c r="G109" s="84">
        <v>1.0613242041771849</v>
      </c>
      <c r="H109" s="84">
        <v>0.77830441639660242</v>
      </c>
      <c r="I109" s="84">
        <v>13.508658704683258</v>
      </c>
      <c r="J109" s="84">
        <v>7.20461797583107</v>
      </c>
      <c r="K109" s="37">
        <v>7.9629988153922353</v>
      </c>
      <c r="L109" s="28"/>
      <c r="M109" s="28"/>
    </row>
    <row r="110" spans="1:13" x14ac:dyDescent="0.25">
      <c r="A110" s="26" t="s">
        <v>210</v>
      </c>
      <c r="B110" s="84">
        <v>775.05</v>
      </c>
      <c r="C110" s="3" t="s">
        <v>163</v>
      </c>
      <c r="D110" s="84">
        <v>48.817999999999984</v>
      </c>
      <c r="E110" s="84">
        <v>65.397999999999982</v>
      </c>
      <c r="F110" s="84">
        <v>1.5512920268999992</v>
      </c>
      <c r="G110" s="84">
        <v>1.1350917269999994</v>
      </c>
      <c r="H110" s="84">
        <v>0.83240059979999959</v>
      </c>
      <c r="I110" s="84">
        <v>14.445715171499996</v>
      </c>
      <c r="J110" s="84">
        <v>7.7043814247999975</v>
      </c>
      <c r="K110" s="37">
        <v>8.5153689431999986</v>
      </c>
      <c r="L110" s="28"/>
      <c r="M110" s="28"/>
    </row>
    <row r="111" spans="1:13" x14ac:dyDescent="0.25">
      <c r="A111" s="26" t="s">
        <v>211</v>
      </c>
      <c r="B111" s="84">
        <v>825.05</v>
      </c>
      <c r="C111" s="3" t="s">
        <v>163</v>
      </c>
      <c r="D111" s="84">
        <v>48.817999999999984</v>
      </c>
      <c r="E111" s="84">
        <v>65.397999999999982</v>
      </c>
      <c r="F111" s="84">
        <v>1.6513689268999994</v>
      </c>
      <c r="G111" s="84">
        <v>1.2083187269999995</v>
      </c>
      <c r="H111" s="84">
        <v>0.88610039979999966</v>
      </c>
      <c r="I111" s="84">
        <v>15.377636671499994</v>
      </c>
      <c r="J111" s="84">
        <v>8.2014062247999959</v>
      </c>
      <c r="K111" s="37">
        <v>9.064712143199996</v>
      </c>
      <c r="L111" s="28"/>
      <c r="M111" s="28"/>
    </row>
    <row r="112" spans="1:13" x14ac:dyDescent="0.25">
      <c r="A112" s="26" t="s">
        <v>212</v>
      </c>
      <c r="B112" s="84">
        <v>875.05</v>
      </c>
      <c r="C112" s="3" t="s">
        <v>163</v>
      </c>
      <c r="D112" s="84">
        <v>48.817999999999984</v>
      </c>
      <c r="E112" s="84">
        <v>65.397999999999982</v>
      </c>
      <c r="F112" s="84">
        <v>1.7514458268999995</v>
      </c>
      <c r="G112" s="84">
        <v>1.2815457269999997</v>
      </c>
      <c r="H112" s="84">
        <v>0.93980019979999974</v>
      </c>
      <c r="I112" s="84">
        <v>16.309558171499994</v>
      </c>
      <c r="J112" s="84">
        <v>8.6984310247999979</v>
      </c>
      <c r="K112" s="37">
        <v>9.6140553431999969</v>
      </c>
      <c r="L112" s="28"/>
      <c r="M112" s="28"/>
    </row>
    <row r="113" spans="1:13" x14ac:dyDescent="0.25">
      <c r="A113" s="26" t="s">
        <v>213</v>
      </c>
      <c r="B113" s="84">
        <v>925.05</v>
      </c>
      <c r="C113" s="3" t="s">
        <v>167</v>
      </c>
      <c r="D113" s="84">
        <v>48.817999999999984</v>
      </c>
      <c r="E113" s="84">
        <v>65.397999999999982</v>
      </c>
      <c r="F113" s="84">
        <v>1.851522726899999</v>
      </c>
      <c r="G113" s="84">
        <v>1.3547727269999992</v>
      </c>
      <c r="H113" s="84">
        <v>0.99349999979999948</v>
      </c>
      <c r="I113" s="84">
        <v>17.241479671499995</v>
      </c>
      <c r="J113" s="84">
        <v>9.1954558247999962</v>
      </c>
      <c r="K113" s="37">
        <v>10.163398543199996</v>
      </c>
      <c r="L113" s="28"/>
      <c r="M113" s="28"/>
    </row>
    <row r="114" spans="1:13" x14ac:dyDescent="0.25">
      <c r="A114" s="26" t="s">
        <v>214</v>
      </c>
      <c r="B114" s="84">
        <v>975.05</v>
      </c>
      <c r="C114" s="3" t="s">
        <v>167</v>
      </c>
      <c r="D114" s="84">
        <v>48.817999999999984</v>
      </c>
      <c r="E114" s="84">
        <v>65.397999999999982</v>
      </c>
      <c r="F114" s="84">
        <v>1.9515996268999991</v>
      </c>
      <c r="G114" s="84">
        <v>1.4279997269999993</v>
      </c>
      <c r="H114" s="84">
        <v>1.0471997997999996</v>
      </c>
      <c r="I114" s="84">
        <v>18.173401171499993</v>
      </c>
      <c r="J114" s="84">
        <v>9.6924806247999964</v>
      </c>
      <c r="K114" s="37">
        <v>10.712741743199995</v>
      </c>
      <c r="L114" s="28"/>
      <c r="M114" s="28"/>
    </row>
    <row r="115" spans="1:13" x14ac:dyDescent="0.25">
      <c r="A115" s="26" t="s">
        <v>215</v>
      </c>
      <c r="B115" s="84">
        <v>1050.05</v>
      </c>
      <c r="C115" s="3" t="s">
        <v>167</v>
      </c>
      <c r="D115" s="84">
        <v>48.817999999999984</v>
      </c>
      <c r="E115" s="84">
        <v>65.397999999999982</v>
      </c>
      <c r="F115" s="84">
        <v>2.101714976899999</v>
      </c>
      <c r="G115" s="84">
        <v>1.5378402269999993</v>
      </c>
      <c r="H115" s="84">
        <v>1.1277494997999997</v>
      </c>
      <c r="I115" s="84">
        <v>19.571283421499995</v>
      </c>
      <c r="J115" s="84">
        <v>10.438017824799996</v>
      </c>
      <c r="K115" s="37">
        <v>11.536756543199996</v>
      </c>
      <c r="L115" s="28"/>
      <c r="M115" s="28"/>
    </row>
    <row r="116" spans="1:13" x14ac:dyDescent="0.25">
      <c r="A116" s="26" t="s">
        <v>216</v>
      </c>
      <c r="B116" s="84">
        <v>1150.05</v>
      </c>
      <c r="C116" s="3" t="s">
        <v>167</v>
      </c>
      <c r="D116" s="84">
        <v>48.817999999999984</v>
      </c>
      <c r="E116" s="84">
        <v>65.397999999999982</v>
      </c>
      <c r="F116" s="84">
        <v>2.3018687768999988</v>
      </c>
      <c r="G116" s="84">
        <v>1.6842942269999992</v>
      </c>
      <c r="H116" s="84">
        <v>1.2351490997999994</v>
      </c>
      <c r="I116" s="84">
        <v>21.435126421499994</v>
      </c>
      <c r="J116" s="84">
        <v>11.432067424799996</v>
      </c>
      <c r="K116" s="37">
        <v>12.635442943199996</v>
      </c>
      <c r="L116" s="28"/>
      <c r="M116" s="28"/>
    </row>
    <row r="117" spans="1:13" x14ac:dyDescent="0.25">
      <c r="A117" s="26" t="s">
        <v>217</v>
      </c>
      <c r="B117" s="84">
        <v>1300.05</v>
      </c>
      <c r="C117" s="3" t="s">
        <v>218</v>
      </c>
      <c r="D117" s="84">
        <v>48.817999999999984</v>
      </c>
      <c r="E117" s="84">
        <v>65.397999999999982</v>
      </c>
      <c r="F117" s="84">
        <v>2.602099476899999</v>
      </c>
      <c r="G117" s="84">
        <v>1.9039752269999992</v>
      </c>
      <c r="H117" s="84">
        <v>1.3962484997999995</v>
      </c>
      <c r="I117" s="84">
        <v>24.230890921499991</v>
      </c>
      <c r="J117" s="84">
        <v>12.923141824799995</v>
      </c>
      <c r="K117" s="37">
        <v>14.283472543199993</v>
      </c>
      <c r="L117" s="28"/>
      <c r="M117" s="28"/>
    </row>
    <row r="118" spans="1:13" x14ac:dyDescent="0.25">
      <c r="A118" s="26" t="s">
        <v>219</v>
      </c>
      <c r="B118" s="84">
        <v>1500.05</v>
      </c>
      <c r="C118" s="3" t="s">
        <v>218</v>
      </c>
      <c r="D118" s="84">
        <v>48.817999999999984</v>
      </c>
      <c r="E118" s="84">
        <v>65.397999999999982</v>
      </c>
      <c r="F118" s="84">
        <v>3.0024070768999986</v>
      </c>
      <c r="G118" s="84">
        <v>2.1968832269999989</v>
      </c>
      <c r="H118" s="84">
        <v>1.6110476997999994</v>
      </c>
      <c r="I118" s="84">
        <v>27.95857692149999</v>
      </c>
      <c r="J118" s="84">
        <v>14.911241024799995</v>
      </c>
      <c r="K118" s="37">
        <v>16.480845343199995</v>
      </c>
      <c r="L118" s="28"/>
      <c r="M118" s="28"/>
    </row>
    <row r="119" spans="1:13" x14ac:dyDescent="0.25">
      <c r="A119" s="26" t="s">
        <v>220</v>
      </c>
      <c r="B119" s="84">
        <v>1800.05</v>
      </c>
      <c r="C119" s="3" t="s">
        <v>221</v>
      </c>
      <c r="D119" s="84">
        <v>48.817999999999984</v>
      </c>
      <c r="E119" s="84">
        <v>65.397999999999982</v>
      </c>
      <c r="F119" s="84">
        <v>3.6028684768999981</v>
      </c>
      <c r="G119" s="84">
        <v>2.6362452269999985</v>
      </c>
      <c r="H119" s="84">
        <v>1.9332464997999992</v>
      </c>
      <c r="I119" s="84">
        <v>33.550105921499991</v>
      </c>
      <c r="J119" s="84">
        <v>17.893389824799996</v>
      </c>
      <c r="K119" s="37">
        <v>19.776904543199993</v>
      </c>
      <c r="L119" s="28"/>
      <c r="M119" s="28"/>
    </row>
    <row r="120" spans="1:13" x14ac:dyDescent="0.25">
      <c r="A120" s="26" t="s">
        <v>222</v>
      </c>
      <c r="B120" s="84">
        <v>2200.0500000000002</v>
      </c>
      <c r="C120" s="3" t="s">
        <v>221</v>
      </c>
      <c r="D120" s="84">
        <v>48.817999999999984</v>
      </c>
      <c r="E120" s="84">
        <v>65.397999999999982</v>
      </c>
      <c r="F120" s="84">
        <v>4.4034836768999988</v>
      </c>
      <c r="G120" s="84">
        <v>3.2220612269999993</v>
      </c>
      <c r="H120" s="84">
        <v>2.3628448997999998</v>
      </c>
      <c r="I120" s="84">
        <v>41.005477921499988</v>
      </c>
      <c r="J120" s="84">
        <v>21.869588224799994</v>
      </c>
      <c r="K120" s="37">
        <v>24.17165014319999</v>
      </c>
      <c r="L120" s="28"/>
      <c r="M120" s="28"/>
    </row>
    <row r="121" spans="1:13" x14ac:dyDescent="0.25">
      <c r="A121" s="26" t="s">
        <v>223</v>
      </c>
      <c r="B121" s="84">
        <v>2700.05</v>
      </c>
      <c r="C121" s="3" t="s">
        <v>221</v>
      </c>
      <c r="D121" s="84">
        <v>48.817999999999984</v>
      </c>
      <c r="E121" s="84">
        <v>65.397999999999982</v>
      </c>
      <c r="F121" s="84">
        <v>5.4042526768999988</v>
      </c>
      <c r="G121" s="84">
        <v>3.9543312269999986</v>
      </c>
      <c r="H121" s="84">
        <v>2.8998428997999994</v>
      </c>
      <c r="I121" s="84">
        <v>50.324692921499988</v>
      </c>
      <c r="J121" s="84">
        <v>26.839836224799992</v>
      </c>
      <c r="K121" s="37">
        <v>29.665082143199992</v>
      </c>
      <c r="L121" s="28"/>
      <c r="M121" s="28"/>
    </row>
    <row r="122" spans="1:13" x14ac:dyDescent="0.25">
      <c r="A122" s="26" t="s">
        <v>224</v>
      </c>
      <c r="B122" s="84">
        <v>3500.05</v>
      </c>
      <c r="C122" s="3" t="s">
        <v>221</v>
      </c>
      <c r="D122" s="84">
        <v>48.817999999999984</v>
      </c>
      <c r="E122" s="84">
        <v>65.397999999999982</v>
      </c>
      <c r="F122" s="84">
        <v>7.0054830768999983</v>
      </c>
      <c r="G122" s="84">
        <v>5.1259632269999988</v>
      </c>
      <c r="H122" s="84">
        <v>3.7590396997999993</v>
      </c>
      <c r="I122" s="84">
        <v>65.235436921499982</v>
      </c>
      <c r="J122" s="84">
        <v>34.792233024799991</v>
      </c>
      <c r="K122" s="37">
        <v>38.454573343199982</v>
      </c>
      <c r="L122" s="28"/>
      <c r="M122" s="28"/>
    </row>
    <row r="123" spans="1:13" x14ac:dyDescent="0.25">
      <c r="A123" s="32" t="s">
        <v>225</v>
      </c>
      <c r="B123" s="85">
        <v>4750.05</v>
      </c>
      <c r="C123" s="86" t="s">
        <v>221</v>
      </c>
      <c r="D123" s="85">
        <v>48.817999999999984</v>
      </c>
      <c r="E123" s="85">
        <v>65.397999999999982</v>
      </c>
      <c r="F123" s="85">
        <v>9.5074055768999965</v>
      </c>
      <c r="G123" s="85">
        <v>6.9566382269999973</v>
      </c>
      <c r="H123" s="85">
        <v>5.1015346997999984</v>
      </c>
      <c r="I123" s="85">
        <v>88.533474421499989</v>
      </c>
      <c r="J123" s="85">
        <v>47.217853024799986</v>
      </c>
      <c r="K123" s="87">
        <v>52.188153343199986</v>
      </c>
      <c r="L123" s="28"/>
      <c r="M123" s="28"/>
    </row>
    <row r="124" spans="1:13" x14ac:dyDescent="0.25">
      <c r="A124" s="66"/>
      <c r="B124" s="66"/>
      <c r="C124" s="66"/>
      <c r="D124" s="66"/>
      <c r="E124" s="66"/>
      <c r="F124" s="66"/>
      <c r="G124" s="67"/>
      <c r="H124" s="67"/>
      <c r="I124" s="66"/>
      <c r="J124" s="66"/>
      <c r="K124" s="66"/>
      <c r="L124" s="66"/>
      <c r="M124" s="66"/>
    </row>
    <row r="125" spans="1:13" ht="42.75" customHeight="1" x14ac:dyDescent="0.25">
      <c r="A125" s="4" t="s">
        <v>226</v>
      </c>
      <c r="B125" s="66"/>
      <c r="C125" s="66"/>
      <c r="D125" s="66"/>
      <c r="F125" s="66"/>
      <c r="H125" s="67"/>
      <c r="J125" s="66"/>
      <c r="K125" s="66"/>
      <c r="L125" s="66"/>
      <c r="M125" s="66"/>
    </row>
    <row r="126" spans="1:13" ht="31.2" x14ac:dyDescent="0.25">
      <c r="A126" s="14" t="s">
        <v>227</v>
      </c>
      <c r="B126" s="25" t="s">
        <v>228</v>
      </c>
      <c r="C126" s="66"/>
      <c r="D126" s="66"/>
      <c r="F126" s="66"/>
      <c r="H126" s="67"/>
      <c r="J126" s="66"/>
      <c r="K126" s="66"/>
      <c r="L126" s="66"/>
      <c r="M126" s="66"/>
    </row>
    <row r="127" spans="1:13" x14ac:dyDescent="0.25">
      <c r="A127" s="77" t="s">
        <v>161</v>
      </c>
      <c r="B127" s="83" t="s">
        <v>161</v>
      </c>
      <c r="C127" s="66"/>
      <c r="D127" s="66"/>
      <c r="F127" s="66"/>
      <c r="H127" s="67"/>
      <c r="J127" s="66"/>
      <c r="K127" s="66"/>
      <c r="L127" s="66"/>
      <c r="M127" s="66"/>
    </row>
    <row r="128" spans="1:13" x14ac:dyDescent="0.25">
      <c r="A128" s="66"/>
      <c r="B128" s="66"/>
      <c r="C128" s="66"/>
      <c r="D128" s="66"/>
      <c r="F128" s="66"/>
      <c r="H128" s="67"/>
      <c r="I128" s="66"/>
      <c r="J128" s="66"/>
      <c r="K128" s="66"/>
      <c r="L128" s="66"/>
      <c r="M128" s="66"/>
    </row>
    <row r="129" spans="1:13" ht="47.25" customHeight="1" x14ac:dyDescent="0.25">
      <c r="A129" s="4" t="s">
        <v>229</v>
      </c>
      <c r="B129" s="66"/>
      <c r="C129" s="66"/>
      <c r="D129" s="66"/>
      <c r="F129" s="2"/>
      <c r="H129" s="66"/>
      <c r="I129" s="66"/>
      <c r="J129" s="66"/>
      <c r="K129" s="66"/>
      <c r="L129" s="66"/>
      <c r="M129" s="66"/>
    </row>
    <row r="130" spans="1:13" ht="31.2" x14ac:dyDescent="0.25">
      <c r="A130" s="14" t="s">
        <v>230</v>
      </c>
      <c r="B130" s="15" t="s">
        <v>231</v>
      </c>
      <c r="C130" s="25" t="s">
        <v>232</v>
      </c>
      <c r="D130" s="66"/>
      <c r="F130" s="66"/>
      <c r="H130" s="66"/>
      <c r="I130" s="66"/>
      <c r="J130" s="66"/>
      <c r="K130" s="66"/>
      <c r="L130" s="66"/>
      <c r="M130" s="66"/>
    </row>
    <row r="131" spans="1:13" x14ac:dyDescent="0.25">
      <c r="A131" s="79" t="s">
        <v>233</v>
      </c>
      <c r="B131" s="70" t="s">
        <v>164</v>
      </c>
      <c r="C131" s="80" t="s">
        <v>234</v>
      </c>
      <c r="D131" s="66"/>
      <c r="F131" s="66"/>
      <c r="H131" s="66"/>
      <c r="I131" s="66"/>
      <c r="J131" s="66"/>
      <c r="K131" s="66"/>
      <c r="L131" s="66"/>
      <c r="M131" s="66"/>
    </row>
    <row r="132" spans="1:13" ht="30" x14ac:dyDescent="0.25">
      <c r="A132" s="79" t="s">
        <v>235</v>
      </c>
      <c r="B132" s="70" t="s">
        <v>165</v>
      </c>
      <c r="C132" s="80" t="s">
        <v>236</v>
      </c>
      <c r="D132" s="66"/>
      <c r="F132" s="66"/>
      <c r="H132" s="66"/>
      <c r="I132" s="66"/>
      <c r="J132" s="66"/>
      <c r="K132" s="66"/>
      <c r="L132" s="66"/>
      <c r="M132" s="66"/>
    </row>
    <row r="133" spans="1:13" ht="45" x14ac:dyDescent="0.25">
      <c r="A133" s="79" t="s">
        <v>237</v>
      </c>
      <c r="B133" s="70" t="s">
        <v>166</v>
      </c>
      <c r="C133" s="80" t="s">
        <v>238</v>
      </c>
      <c r="D133" s="66"/>
      <c r="F133" s="66"/>
      <c r="H133" s="66"/>
      <c r="I133" s="66"/>
      <c r="J133" s="66"/>
      <c r="K133" s="66"/>
      <c r="L133" s="66"/>
      <c r="M133" s="66"/>
    </row>
    <row r="134" spans="1:13" ht="30" x14ac:dyDescent="0.25">
      <c r="A134" s="75" t="s">
        <v>239</v>
      </c>
      <c r="B134" s="70" t="s">
        <v>165</v>
      </c>
      <c r="C134" s="80" t="s">
        <v>236</v>
      </c>
      <c r="D134" s="66"/>
      <c r="F134" s="66"/>
      <c r="H134" s="66"/>
      <c r="I134" s="66"/>
      <c r="J134" s="66"/>
      <c r="K134" s="66"/>
      <c r="L134" s="66"/>
      <c r="M134" s="66"/>
    </row>
    <row r="135" spans="1:13" ht="30" x14ac:dyDescent="0.25">
      <c r="A135" s="75" t="s">
        <v>240</v>
      </c>
      <c r="B135" s="70" t="s">
        <v>165</v>
      </c>
      <c r="C135" s="80" t="s">
        <v>236</v>
      </c>
      <c r="D135" s="66"/>
      <c r="F135" s="66"/>
      <c r="H135" s="66"/>
      <c r="I135" s="68"/>
      <c r="J135" s="66"/>
      <c r="K135" s="66"/>
      <c r="L135" s="66"/>
      <c r="M135" s="66"/>
    </row>
    <row r="136" spans="1:13" ht="30" x14ac:dyDescent="0.25">
      <c r="A136" s="81" t="s">
        <v>241</v>
      </c>
      <c r="B136" s="82" t="s">
        <v>165</v>
      </c>
      <c r="C136" s="83" t="s">
        <v>236</v>
      </c>
      <c r="D136" s="66"/>
      <c r="F136" s="66"/>
      <c r="H136" s="66"/>
      <c r="I136" s="68"/>
      <c r="J136" s="66"/>
      <c r="K136" s="66"/>
      <c r="L136" s="66"/>
      <c r="M136" s="66"/>
    </row>
    <row r="137" spans="1:13" x14ac:dyDescent="0.25">
      <c r="A137" s="66"/>
      <c r="B137" s="67"/>
      <c r="C137" s="66"/>
      <c r="D137" s="66"/>
      <c r="F137" s="66"/>
      <c r="H137" s="66"/>
      <c r="I137" s="68"/>
      <c r="J137" s="66"/>
      <c r="K137" s="66"/>
      <c r="L137" s="66"/>
      <c r="M137" s="66"/>
    </row>
    <row r="138" spans="1:13" ht="50.25" customHeight="1" x14ac:dyDescent="0.25">
      <c r="A138" s="4" t="s">
        <v>242</v>
      </c>
      <c r="B138" s="67"/>
      <c r="C138" s="66"/>
      <c r="D138" s="66"/>
      <c r="F138" s="66"/>
      <c r="H138" s="66"/>
      <c r="I138" s="68"/>
      <c r="J138" s="66"/>
      <c r="K138" s="66"/>
      <c r="L138" s="66"/>
      <c r="M138" s="66"/>
    </row>
    <row r="139" spans="1:13" ht="31.2" x14ac:dyDescent="0.25">
      <c r="A139" s="73" t="s">
        <v>150</v>
      </c>
      <c r="B139" s="74" t="s">
        <v>228</v>
      </c>
      <c r="C139" s="66"/>
      <c r="D139" s="66"/>
      <c r="F139" s="66"/>
      <c r="H139" s="66"/>
      <c r="I139" s="66"/>
      <c r="J139" s="66"/>
      <c r="K139" s="66"/>
      <c r="L139" s="66"/>
      <c r="M139" s="66"/>
    </row>
    <row r="140" spans="1:13" x14ac:dyDescent="0.25">
      <c r="A140" s="75" t="s">
        <v>243</v>
      </c>
      <c r="B140" s="76" t="b">
        <v>1</v>
      </c>
      <c r="C140" s="66"/>
      <c r="D140" s="66"/>
      <c r="F140" s="66"/>
      <c r="H140" s="66"/>
      <c r="I140" s="66"/>
      <c r="J140" s="66"/>
      <c r="K140" s="66"/>
      <c r="L140" s="66"/>
      <c r="M140" s="66"/>
    </row>
    <row r="141" spans="1:13" x14ac:dyDescent="0.25">
      <c r="A141" s="77" t="s">
        <v>244</v>
      </c>
      <c r="B141" s="78" t="b">
        <v>0</v>
      </c>
      <c r="C141" s="66"/>
      <c r="D141" s="66"/>
      <c r="F141" s="66"/>
      <c r="H141" s="66"/>
      <c r="I141" s="66"/>
      <c r="J141" s="66"/>
      <c r="K141" s="66"/>
      <c r="L141" s="66"/>
      <c r="M141" s="66"/>
    </row>
    <row r="142" spans="1:13" x14ac:dyDescent="0.25">
      <c r="A142" s="66"/>
      <c r="B142" s="67"/>
      <c r="C142" s="67"/>
      <c r="D142" s="66"/>
      <c r="F142" s="66"/>
    </row>
    <row r="143" spans="1:13" ht="44.25" customHeight="1" x14ac:dyDescent="0.25">
      <c r="A143" s="4" t="s">
        <v>245</v>
      </c>
      <c r="B143" s="67"/>
      <c r="C143" s="67"/>
      <c r="D143" s="66"/>
    </row>
    <row r="144" spans="1:13" ht="15.6" x14ac:dyDescent="0.25">
      <c r="A144" s="69" t="s">
        <v>246</v>
      </c>
      <c r="D144" s="66"/>
    </row>
    <row r="145" spans="1:8" x14ac:dyDescent="0.25">
      <c r="A145" s="70" t="s">
        <v>162</v>
      </c>
      <c r="D145" s="66"/>
      <c r="E145" s="66"/>
      <c r="F145" s="66"/>
      <c r="G145" s="67"/>
      <c r="H145" s="67"/>
    </row>
    <row r="146" spans="1:8" x14ac:dyDescent="0.25">
      <c r="A146" s="70" t="s">
        <v>168</v>
      </c>
      <c r="D146" s="66"/>
      <c r="E146" s="66"/>
      <c r="F146" s="66"/>
      <c r="G146" s="67"/>
      <c r="H146" s="67"/>
    </row>
    <row r="147" spans="1:8" x14ac:dyDescent="0.25">
      <c r="A147" s="70" t="s">
        <v>169</v>
      </c>
      <c r="D147" s="66"/>
      <c r="E147" s="66"/>
      <c r="F147" s="66"/>
      <c r="G147" s="67"/>
      <c r="H147" s="67"/>
    </row>
    <row r="148" spans="1:8" x14ac:dyDescent="0.25">
      <c r="A148" s="70" t="s">
        <v>175</v>
      </c>
      <c r="D148" s="66"/>
      <c r="E148" s="66"/>
      <c r="F148" s="66"/>
      <c r="G148" s="67"/>
      <c r="H148" s="67"/>
    </row>
    <row r="149" spans="1:8" x14ac:dyDescent="0.25">
      <c r="A149" s="70" t="s">
        <v>170</v>
      </c>
      <c r="D149" s="66"/>
      <c r="E149" s="66"/>
      <c r="F149" s="66"/>
      <c r="G149" s="67"/>
      <c r="H149" s="67"/>
    </row>
    <row r="150" spans="1:8" x14ac:dyDescent="0.25">
      <c r="A150" s="70" t="s">
        <v>171</v>
      </c>
      <c r="D150" s="66"/>
      <c r="E150" s="66"/>
      <c r="F150" s="66"/>
      <c r="G150" s="67"/>
      <c r="H150" s="67"/>
    </row>
    <row r="151" spans="1:8" x14ac:dyDescent="0.25">
      <c r="A151" s="70" t="s">
        <v>247</v>
      </c>
      <c r="D151" s="66"/>
      <c r="E151" s="66"/>
      <c r="F151" s="66"/>
      <c r="G151" s="67"/>
      <c r="H151" s="67"/>
    </row>
    <row r="152" spans="1:8" x14ac:dyDescent="0.25">
      <c r="A152" s="70" t="s">
        <v>172</v>
      </c>
      <c r="D152" s="66"/>
      <c r="E152" s="66"/>
      <c r="F152" s="66"/>
      <c r="G152" s="67"/>
      <c r="H152" s="67"/>
    </row>
    <row r="153" spans="1:8" x14ac:dyDescent="0.25">
      <c r="A153" s="70" t="s">
        <v>173</v>
      </c>
      <c r="D153" s="66"/>
      <c r="E153" s="66"/>
      <c r="F153" s="66"/>
      <c r="G153" s="67"/>
      <c r="H153" s="67"/>
    </row>
    <row r="154" spans="1:8" x14ac:dyDescent="0.25">
      <c r="A154" s="71" t="s">
        <v>179</v>
      </c>
      <c r="D154" s="66"/>
      <c r="E154" s="66"/>
      <c r="F154" s="66"/>
      <c r="G154" s="67"/>
      <c r="H154" s="67"/>
    </row>
    <row r="155" spans="1:8" x14ac:dyDescent="0.25">
      <c r="A155" s="71" t="s">
        <v>181</v>
      </c>
      <c r="D155" s="66"/>
      <c r="E155" s="66"/>
      <c r="F155" s="66"/>
      <c r="G155" s="67"/>
      <c r="H155" s="67"/>
    </row>
    <row r="156" spans="1:8" x14ac:dyDescent="0.25">
      <c r="A156" s="71" t="s">
        <v>182</v>
      </c>
      <c r="D156" s="66"/>
      <c r="E156" s="66"/>
      <c r="F156" s="66"/>
      <c r="G156" s="67"/>
      <c r="H156" s="67"/>
    </row>
    <row r="157" spans="1:8" x14ac:dyDescent="0.25">
      <c r="A157" s="71" t="s">
        <v>183</v>
      </c>
      <c r="D157" s="66"/>
      <c r="E157" s="66"/>
      <c r="F157" s="66"/>
      <c r="G157" s="67"/>
      <c r="H157" s="67"/>
    </row>
    <row r="158" spans="1:8" x14ac:dyDescent="0.25">
      <c r="A158" s="70" t="s">
        <v>184</v>
      </c>
      <c r="D158" s="66"/>
      <c r="E158" s="66"/>
      <c r="F158" s="66"/>
      <c r="G158" s="67"/>
      <c r="H158" s="67"/>
    </row>
    <row r="159" spans="1:8" x14ac:dyDescent="0.25">
      <c r="A159" s="70" t="s">
        <v>185</v>
      </c>
      <c r="D159" s="66"/>
      <c r="E159" s="66"/>
      <c r="F159" s="66"/>
      <c r="G159" s="67"/>
      <c r="H159" s="67"/>
    </row>
    <row r="160" spans="1:8" x14ac:dyDescent="0.25">
      <c r="A160" s="70" t="s">
        <v>186</v>
      </c>
      <c r="D160" s="66"/>
      <c r="E160" s="66"/>
      <c r="F160" s="66"/>
      <c r="G160" s="67"/>
      <c r="H160" s="67"/>
    </row>
    <row r="161" spans="1:8" x14ac:dyDescent="0.25">
      <c r="A161" s="72" t="s">
        <v>180</v>
      </c>
      <c r="D161" s="66"/>
      <c r="E161" s="66"/>
      <c r="F161" s="66"/>
      <c r="G161" s="67"/>
      <c r="H161" s="67"/>
    </row>
    <row r="163" spans="1:8" ht="46.5" customHeight="1" x14ac:dyDescent="0.25">
      <c r="A163" s="4" t="s">
        <v>248</v>
      </c>
    </row>
    <row r="164" spans="1:8" ht="15.6" x14ac:dyDescent="0.25">
      <c r="A164" s="69" t="s">
        <v>249</v>
      </c>
    </row>
    <row r="165" spans="1:8" x14ac:dyDescent="0.25">
      <c r="A165" s="70" t="s">
        <v>162</v>
      </c>
    </row>
    <row r="166" spans="1:8" x14ac:dyDescent="0.25">
      <c r="A166" s="70" t="s">
        <v>168</v>
      </c>
    </row>
    <row r="167" spans="1:8" x14ac:dyDescent="0.25">
      <c r="A167" s="70" t="s">
        <v>169</v>
      </c>
    </row>
    <row r="168" spans="1:8" x14ac:dyDescent="0.25">
      <c r="A168" s="70" t="s">
        <v>175</v>
      </c>
    </row>
    <row r="169" spans="1:8" x14ac:dyDescent="0.25">
      <c r="A169" s="70" t="s">
        <v>170</v>
      </c>
    </row>
    <row r="170" spans="1:8" x14ac:dyDescent="0.25">
      <c r="A170" s="70" t="s">
        <v>171</v>
      </c>
    </row>
    <row r="171" spans="1:8" x14ac:dyDescent="0.25">
      <c r="A171" s="70" t="s">
        <v>172</v>
      </c>
    </row>
    <row r="172" spans="1:8" x14ac:dyDescent="0.25">
      <c r="A172" s="70" t="s">
        <v>173</v>
      </c>
    </row>
    <row r="173" spans="1:8" x14ac:dyDescent="0.25">
      <c r="A173" s="71" t="s">
        <v>179</v>
      </c>
    </row>
    <row r="174" spans="1:8" x14ac:dyDescent="0.25">
      <c r="A174" s="71" t="s">
        <v>181</v>
      </c>
    </row>
    <row r="175" spans="1:8" x14ac:dyDescent="0.25">
      <c r="A175" s="71" t="s">
        <v>182</v>
      </c>
    </row>
    <row r="176" spans="1:8" x14ac:dyDescent="0.25">
      <c r="A176" s="71" t="s">
        <v>183</v>
      </c>
    </row>
    <row r="177" spans="1:1" x14ac:dyDescent="0.25">
      <c r="A177" s="70" t="s">
        <v>184</v>
      </c>
    </row>
    <row r="178" spans="1:1" x14ac:dyDescent="0.25">
      <c r="A178" s="70" t="s">
        <v>185</v>
      </c>
    </row>
    <row r="179" spans="1:1" x14ac:dyDescent="0.25">
      <c r="A179" s="70" t="s">
        <v>186</v>
      </c>
    </row>
    <row r="180" spans="1:1" x14ac:dyDescent="0.25">
      <c r="A180" s="70" t="s">
        <v>180</v>
      </c>
    </row>
    <row r="182" spans="1:1" ht="26.25" customHeight="1" x14ac:dyDescent="0.25">
      <c r="A182" s="4" t="s">
        <v>250</v>
      </c>
    </row>
    <row r="183" spans="1:1" ht="15.6" x14ac:dyDescent="0.25">
      <c r="A183" s="69" t="s">
        <v>251</v>
      </c>
    </row>
    <row r="184" spans="1:1" x14ac:dyDescent="0.25">
      <c r="A184" s="70" t="e" cm="1" vm="1">
        <f t="array" ref="A184">_xlfn._xlws.SORT(_xlfn.UNIQUE(_xlfn._xlws.FILTER(Nutrients_from_future_land_use!$A$5:$A$21,Nutrients_from_future_land_use!$A$5:$A$21&lt;&gt;"")))</f>
        <v>#VALUE!</v>
      </c>
    </row>
  </sheetData>
  <sheetProtection algorithmName="SHA-512" hashValue="fXdObeLI38h1sqY+26wyVaXsbDcknvFd/iWD4/OQvZZv3OUj1cRsTP1jT7fX5VZteR+ghAj2VwirklfFPYdplw==" saltValue="hSh4mmZwB+CtvQHE1CVi5g==" spinCount="100000" sheet="1" objects="1" scenarios="1"/>
  <phoneticPr fontId="3" type="noConversion"/>
  <dataValidations count="1">
    <dataValidation allowBlank="1" showInputMessage="1" showErrorMessage="1" prompt="This value is dependent on the rainfall volume." sqref="G95:H97 G91:H91"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81FF82-367A-4228-991E-D42F36E708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0B7B34-BAFA-44BC-9733-02FC35A4DB99}">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Michael Neep</cp:lastModifiedBy>
  <cp:revision/>
  <dcterms:created xsi:type="dcterms:W3CDTF">2021-10-14T13:24:34Z</dcterms:created>
  <dcterms:modified xsi:type="dcterms:W3CDTF">2025-07-10T15:40:14Z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